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\Desktop\"/>
    </mc:Choice>
  </mc:AlternateContent>
  <xr:revisionPtr revIDLastSave="0" documentId="8_{9C694644-4608-4F52-A707-4A37066FDD27}" xr6:coauthVersionLast="45" xr6:coauthVersionMax="45" xr10:uidLastSave="{00000000-0000-0000-0000-000000000000}"/>
  <bookViews>
    <workbookView xWindow="-108" yWindow="-108" windowWidth="23256" windowHeight="12576" xr2:uid="{E8F371FA-F95F-4F0D-A9A6-14568775531C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0" i="1" l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4" i="1"/>
  <c r="G62" i="1"/>
  <c r="G58" i="1"/>
  <c r="G56" i="1"/>
  <c r="G55" i="1"/>
  <c r="G54" i="1"/>
  <c r="G53" i="1"/>
  <c r="G52" i="1"/>
  <c r="G51" i="1"/>
  <c r="G50" i="1"/>
  <c r="G49" i="1"/>
  <c r="G48" i="1"/>
  <c r="G46" i="1"/>
  <c r="G45" i="1"/>
  <c r="G43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<sst xmlns="http://schemas.openxmlformats.org/spreadsheetml/2006/main" count="897" uniqueCount="345">
  <si>
    <t>PLANILHA DE CUSTOS 2019</t>
  </si>
  <si>
    <t>DESPESAS COM FORNECEDORES E PRESTADORES</t>
  </si>
  <si>
    <t>NOME</t>
  </si>
  <si>
    <t>CNPJ</t>
  </si>
  <si>
    <t>NATUREZA DO SERVIÇO</t>
  </si>
  <si>
    <t>MODALIDADE DE CONTRATAÇÃO</t>
  </si>
  <si>
    <t>SERVIÇO CONTINUO</t>
  </si>
  <si>
    <t>VIGÊNCIA</t>
  </si>
  <si>
    <t>PAGAMENTO TOTAL ANUAL</t>
  </si>
  <si>
    <t>CR TURISMO LTDA</t>
  </si>
  <si>
    <t>09.452.599/0001-79</t>
  </si>
  <si>
    <t>VIAGENS E TRANSLADOS - NACIONAIS E INTERNACIONAIS</t>
  </si>
  <si>
    <t>PREGÃO ELETRÔNICO</t>
  </si>
  <si>
    <t>SIM</t>
  </si>
  <si>
    <t>04/01/2019 - 31/12/2019</t>
  </si>
  <si>
    <t>CENTRO MEDICO MARQUES DE PARANAGUA S/C LTDA</t>
  </si>
  <si>
    <t>67.838.110/0001-06</t>
  </si>
  <si>
    <t>ASSESSORIA MÉDICA ATLETAS</t>
  </si>
  <si>
    <t>PESQUISA DE PREÇO, CONFORME NORMA COB</t>
  </si>
  <si>
    <t>01/01/2019 - 31/12/2019</t>
  </si>
  <si>
    <t>POSSI EMPREENDIMENTOS IMOBILIARIOS LTDA - EPP</t>
  </si>
  <si>
    <t>50.863.281/0001-84</t>
  </si>
  <si>
    <t>IMOBILIÁRIA - ALUGUEL CASA ATLETA</t>
  </si>
  <si>
    <t>S&amp;J IMOVEIS LTDA - ME</t>
  </si>
  <si>
    <t>10.594.376/0001-25</t>
  </si>
  <si>
    <t>NOVASOLAR EMPREENDIMENTOS IMOBILIÁRIOS S/C LTDA</t>
  </si>
  <si>
    <t xml:space="preserve">	69.094.845/0001-90</t>
  </si>
  <si>
    <t>TELEFÔNICA BRASIL S.A</t>
  </si>
  <si>
    <t xml:space="preserve">	02.558.157/0001-62</t>
  </si>
  <si>
    <t>SERVIÇOS DE TELEFONIA</t>
  </si>
  <si>
    <t>MILENIO PAES E DOCES LTDA - EPP</t>
  </si>
  <si>
    <t xml:space="preserve">	03.589.725/0001-55</t>
  </si>
  <si>
    <t>ALIMENTAÇÃO ATLETAS</t>
  </si>
  <si>
    <t>ELETROPAULO METROPOLITANA ELETRICIDADE DE SÃO PAULO S.A.</t>
  </si>
  <si>
    <t>61.695.227/0001-93</t>
  </si>
  <si>
    <t>FORNECIMENTO DE ENERGIA ELETRICA - SEDE E CASAS ATLETAS</t>
  </si>
  <si>
    <t>SERVIÇO ESSENCIAL</t>
  </si>
  <si>
    <t>TUTOIA COPIAS S/C LTDA ME</t>
  </si>
  <si>
    <t xml:space="preserve">	59.583.773/0001-90</t>
  </si>
  <si>
    <t>CÓPIAS REPROGRÁFICAS</t>
  </si>
  <si>
    <t>SERGIO RABELO IMOVEIS LTDA - EPP</t>
  </si>
  <si>
    <t>58.122.706/0001-06</t>
  </si>
  <si>
    <t xml:space="preserve">IMOBILIÁRIA - ALUGUEL SEDE </t>
  </si>
  <si>
    <t>LOCAWEB SERVICOS DE INTERNET AS</t>
  </si>
  <si>
    <t>02.351.877/0001-52</t>
  </si>
  <si>
    <t>MANUTENÇÃO DE SÍTIO ELETRONICOA</t>
  </si>
  <si>
    <t>EMPRESA BRASILEIRA DE TELECOMUNICACOES SA EMBRATEL</t>
  </si>
  <si>
    <t>33.530.486/0125-69</t>
  </si>
  <si>
    <t>CIA DE SANEAMENTO BÁSICO DO ESTADO DE SÃO PAULO SABESP</t>
  </si>
  <si>
    <t xml:space="preserve">	43.776.517/0001-80</t>
  </si>
  <si>
    <t xml:space="preserve">FORNECIMENTO DE ÁGUA </t>
  </si>
  <si>
    <t>TUTOIA EXPRESS SERVIÇOS POSTAIS LTDA - EPP</t>
  </si>
  <si>
    <t>00.011.835/0001-47</t>
  </si>
  <si>
    <t>CORREIOS</t>
  </si>
  <si>
    <t>SISTUT SERVIÇOS POSTAIS EIRELI EPP</t>
  </si>
  <si>
    <t>24.129.509/0001-05</t>
  </si>
  <si>
    <t>SERVIÇOS DE COLETA CORRESPONDÊNCIA</t>
  </si>
  <si>
    <t>COOPERATIVA UNIAO SERV DOS TAXISTAS AUTONOMOS DE S.P.</t>
  </si>
  <si>
    <t>59.558.411/0001-40</t>
  </si>
  <si>
    <t>SERVIÇOS DE TAXI</t>
  </si>
  <si>
    <t>FORT WORK SERVIÇOS TERCEIRIZADOS LTDA</t>
  </si>
  <si>
    <t>12.615.287/0001-43</t>
  </si>
  <si>
    <t>SERVIÇOS DE LIMPEZA</t>
  </si>
  <si>
    <t>D.T.V.M. S/A</t>
  </si>
  <si>
    <t xml:space="preserve">	17.354.911/0001-10</t>
  </si>
  <si>
    <t>CAMBIO E REMESSAS</t>
  </si>
  <si>
    <t>NÃO</t>
  </si>
  <si>
    <t>E.S.P. MATERIAIS ELÉTRICOS EIRELI</t>
  </si>
  <si>
    <t>23.056.809/0001-30</t>
  </si>
  <si>
    <t>MATERIAIS DE CONSTRUÇÃO</t>
  </si>
  <si>
    <t>JR COMUNICAÇÃO E PUBLICIDADE LTDA</t>
  </si>
  <si>
    <t xml:space="preserve">	11.178.322/0001-41</t>
  </si>
  <si>
    <t>PUBLICAÇÕES OFICIAIS</t>
  </si>
  <si>
    <t>RMG SERVIÇOS CONTÁBEIS LTDA ME</t>
  </si>
  <si>
    <t>07.157.237/0001-20</t>
  </si>
  <si>
    <t>SERVIÇOS DE CONTABILIDADE E RECURSOS HUMANOS</t>
  </si>
  <si>
    <t>SACHO - AUDITORES INDEPENDENTES - EPP</t>
  </si>
  <si>
    <t>74.006.719/0001-76</t>
  </si>
  <si>
    <t>AUDITORIA INDEPENDENTE</t>
  </si>
  <si>
    <t>DIEGO DA SILVA SANTOS</t>
  </si>
  <si>
    <t>30.549.614/0001-98</t>
  </si>
  <si>
    <t>J. C. FRANCO COMERCIAL ME</t>
  </si>
  <si>
    <t>19.766.862/0001-58</t>
  </si>
  <si>
    <t>B2W - COMPANHIA GLOBAL DO VAREJO</t>
  </si>
  <si>
    <t>00.776.574/0008-22</t>
  </si>
  <si>
    <t>PRODUTOS E SERVIÇOS</t>
  </si>
  <si>
    <t>A. MALTAROLLO LTDA</t>
  </si>
  <si>
    <t>57.587.701/0001-96</t>
  </si>
  <si>
    <t>FARMÁCIA ATLETAS</t>
  </si>
  <si>
    <t>EDSON HEITOR DA SILVA</t>
  </si>
  <si>
    <t>24.244.120/0001-00</t>
  </si>
  <si>
    <t>SERVIÇOS DE MANUTENÇÃO</t>
  </si>
  <si>
    <t>NESTLE BRASIL LTDA</t>
  </si>
  <si>
    <t>60.409.075/0100-34</t>
  </si>
  <si>
    <t>PERICO UNIFORMES LTDA</t>
  </si>
  <si>
    <t>10.695.227/0001-52</t>
  </si>
  <si>
    <t>MODELAGEM UNIFORMES</t>
  </si>
  <si>
    <t>CAURE INFORMATICA E SUPRIMENTOS LTDA</t>
  </si>
  <si>
    <t>11.972.582/0001-94</t>
  </si>
  <si>
    <t>TONNERS E TINTA IMPRESSORA</t>
  </si>
  <si>
    <t>ROBERTO PEREIRA GONÇALVES</t>
  </si>
  <si>
    <t>22.444.920/0001-31</t>
  </si>
  <si>
    <t>TRADING SOLUÇÃO INTERNACIONAL LTDA</t>
  </si>
  <si>
    <t>03.497.925/0001-88</t>
  </si>
  <si>
    <t>SUPLEY LABORATORIO DE ALIMENTOS E SUPLEMENTOS LTDA</t>
  </si>
  <si>
    <t>07.578.713/0004-29</t>
  </si>
  <si>
    <t>SUPLEMENTO ALIMENTAR ATLETAS</t>
  </si>
  <si>
    <t>GLOBAL STERILAIR E COMMERCE LTDA</t>
  </si>
  <si>
    <t>22.754.776/0001-30</t>
  </si>
  <si>
    <t>COMERCIAL MOVEI JS LTDA</t>
  </si>
  <si>
    <t>21.660.838/0001-81</t>
  </si>
  <si>
    <t>DARCY HELENO VICTORIO</t>
  </si>
  <si>
    <t>08.238.296/0001-95</t>
  </si>
  <si>
    <t>MATERIAIS DE CONSERVAÇÃO</t>
  </si>
  <si>
    <t>DR. IMAGEM CLINICA RADIO LT</t>
  </si>
  <si>
    <t>26.153.793/0001-72</t>
  </si>
  <si>
    <t>EXAMES CLINICIS</t>
  </si>
  <si>
    <t>TAXAS AIBA</t>
  </si>
  <si>
    <t>-</t>
  </si>
  <si>
    <t>TAXA DE FILIACAO</t>
  </si>
  <si>
    <t>DESPESA DE CONTINGÊNCIA</t>
  </si>
  <si>
    <t>DESPESAS DE PRONTO PAGAMENTO</t>
  </si>
  <si>
    <t>AUTOLOGUS LABORATORIO LTDA</t>
  </si>
  <si>
    <t>56.573.728/0001-67</t>
  </si>
  <si>
    <t>EXAMES CLINICOS</t>
  </si>
  <si>
    <t>FOCUS CENTRO DE DIAGNOSTICO MEDICO SS LTDA</t>
  </si>
  <si>
    <t>69.288.215/0001-56</t>
  </si>
  <si>
    <t>ANDRE DOS SANTOS CRUZ COMERCIO E SERVICOS CONSTRUCAO CIVIL</t>
  </si>
  <si>
    <t>17.258.475/0001-85</t>
  </si>
  <si>
    <t>SERVIÇOS DE CONSTRUÇÃO E REPAROS</t>
  </si>
  <si>
    <t>OFTALMOCLINICA SANTO ANDRE LTDA</t>
  </si>
  <si>
    <t>58.169.566/0001-21</t>
  </si>
  <si>
    <t>IGUASPORT LTDA</t>
  </si>
  <si>
    <t>02.314.041/0021-21</t>
  </si>
  <si>
    <t>MATERIAIS ESPORTIVOS</t>
  </si>
  <si>
    <t>KALUNGA COM. E IND. GRÁFICA LTDA</t>
  </si>
  <si>
    <t>43.283.811/0012-02</t>
  </si>
  <si>
    <t>MATERIAIS DE ESCRITORIO</t>
  </si>
  <si>
    <t>EXPRESSO TRANSGOMES LTDA</t>
  </si>
  <si>
    <t>02.554.926/0001-54</t>
  </si>
  <si>
    <t>FRETES E TRANSPORTES</t>
  </si>
  <si>
    <t>CHRISTIAN ARAKE SETUGUTI ME</t>
  </si>
  <si>
    <t>03.063.806/0001-17</t>
  </si>
  <si>
    <t>ALIMENTACAO CAMP. BRAS.</t>
  </si>
  <si>
    <t>JLP DE BARROS GOUVEIA</t>
  </si>
  <si>
    <t>31.013.988/0001-57</t>
  </si>
  <si>
    <t>MKS IMPORTACAO E COMERCIO LTDA</t>
  </si>
  <si>
    <t>00.324.823/0001-72</t>
  </si>
  <si>
    <t>ALISSON RETZLAFF GESSI</t>
  </si>
  <si>
    <t>998.529.000-30</t>
  </si>
  <si>
    <t>SERVIÇOS DIVERSOS</t>
  </si>
  <si>
    <t>3 OFICIAL DE REGISTRO DE TITULOS E DOCUMENTOS E CIVIL DE PESSOA JURIDICA</t>
  </si>
  <si>
    <t>45.572.625/0001-66</t>
  </si>
  <si>
    <t>REGISTRO DE DOCUMENTOS</t>
  </si>
  <si>
    <t>SERVIÇO EXCLUSIVO</t>
  </si>
  <si>
    <t>4 TABELIONATO DE NOTAS DA CAPITAL</t>
  </si>
  <si>
    <t>45.565.702/0001-50</t>
  </si>
  <si>
    <t>VALIDACAO LEGAL DOCUMENTOS</t>
  </si>
  <si>
    <t>DEPARTAMENTO ESTADUAL DE TRANSITO</t>
  </si>
  <si>
    <t>15.519.361/0001-16</t>
  </si>
  <si>
    <t>IPVA - VEICULO ENTIDADE</t>
  </si>
  <si>
    <t>TRIBUTOS E TAXAS</t>
  </si>
  <si>
    <t>PREFEITURA DA CIDADE DE SP</t>
  </si>
  <si>
    <t>46.395.000/0001-39</t>
  </si>
  <si>
    <t>IPTU</t>
  </si>
  <si>
    <t>SERASA S/A</t>
  </si>
  <si>
    <t xml:space="preserve">	62.173.620/0001-80</t>
  </si>
  <si>
    <t>ERIKA MARIA MARQUES NEVES</t>
  </si>
  <si>
    <t>32.670.830/0001-12</t>
  </si>
  <si>
    <t>MARCELO DE OLIVEIRA VAZ</t>
  </si>
  <si>
    <t>27.206.462/0001-16</t>
  </si>
  <si>
    <t>TARSO R. DA SILVA ARTIGOS ESPORTIVOS</t>
  </si>
  <si>
    <t>05.299.830/0001-85</t>
  </si>
  <si>
    <t>D. BOXE IND. E COM. DE ARTIGOS ESPORTIVOS LTDA</t>
  </si>
  <si>
    <t>03.788.139/0001-30</t>
  </si>
  <si>
    <t>MINISTERIO DA JUSTIÇA (PASSAPORTES)</t>
  </si>
  <si>
    <t>00.394.494/0003-06</t>
  </si>
  <si>
    <t>EMISSAO PASSAPORTE</t>
  </si>
  <si>
    <t>DIGI MANIA COMERCIO ELETRONICO EIRELI</t>
  </si>
  <si>
    <t>19.457.025/0001-47</t>
  </si>
  <si>
    <t>AMIGOS TRANSPORTES LTDA</t>
  </si>
  <si>
    <t>02.399.451/0001-79</t>
  </si>
  <si>
    <t>AVEPA COMERCIO E IMPORTACAO DE MATERIAIS</t>
  </si>
  <si>
    <t>20.062.236/0001-60</t>
  </si>
  <si>
    <t>SHOPPING HOUSE IMOVEIS LTDA</t>
  </si>
  <si>
    <t>02.843.230/0001-48</t>
  </si>
  <si>
    <t>KARIN GOMES DA COSTA</t>
  </si>
  <si>
    <t>170.805.778-10</t>
  </si>
  <si>
    <t>ALUGUEL NOVA SEDE CBBOXE</t>
  </si>
  <si>
    <t>CONSULADO GERAL DO JAPÃO EM SÃO PAULO</t>
  </si>
  <si>
    <t>EMISSÃO VISTOS</t>
  </si>
  <si>
    <t>LUV ALIMENTACAO E EVENTOS EIRELI</t>
  </si>
  <si>
    <t>30.252.638/0001-80</t>
  </si>
  <si>
    <t>CLECIO GILVANE STEINDORFF ME</t>
  </si>
  <si>
    <t>05.538.923/0001-15</t>
  </si>
  <si>
    <t>ROBERTO MALTA BOM</t>
  </si>
  <si>
    <t>19.011.591/0001-20</t>
  </si>
  <si>
    <t>POLAR ELECTRO BRASIL COM, DISTR,IMPORT E EXPORT LTDA</t>
  </si>
  <si>
    <t>24.479.880/0001-99</t>
  </si>
  <si>
    <t>CREATIVE COPIAS LTDA</t>
  </si>
  <si>
    <t>03.769.753/0001-54</t>
  </si>
  <si>
    <t>COPIAS REPROGRAFICAS</t>
  </si>
  <si>
    <t>CLARO S/A</t>
  </si>
  <si>
    <t>40.432.544/0001-47</t>
  </si>
  <si>
    <t>GLOBAL ESTACIONAMENTO E LAVA RAPIDO</t>
  </si>
  <si>
    <t>08.083.351/0001-15</t>
  </si>
  <si>
    <t>LAVAGEM RINGUES</t>
  </si>
  <si>
    <t>INOVARTHE COMUNICACAO VISUAL LTDA</t>
  </si>
  <si>
    <t>11.459.673/0001-20</t>
  </si>
  <si>
    <t>ADEQUAÇÃO SITE CBBOXE</t>
  </si>
  <si>
    <t>MARCENARIA E DECORACAO ELTON LTDA</t>
  </si>
  <si>
    <t>61.199.089/0001-51</t>
  </si>
  <si>
    <t>R.N. BALTAZAR - COMERCIO DE INFORMATICA</t>
  </si>
  <si>
    <t>26.668.902/0001-94</t>
  </si>
  <si>
    <t>RD INFORMETICA LTDA</t>
  </si>
  <si>
    <t>27.343.163/0001-23</t>
  </si>
  <si>
    <t>A2 COLORS COMUNICACAO VISUAL EIRELI</t>
  </si>
  <si>
    <t>07.293.492/0001-08</t>
  </si>
  <si>
    <t>WORK BEE ROUPAS PROFISSIONAIS EIRELI</t>
  </si>
  <si>
    <t>34.133.032/0001-87</t>
  </si>
  <si>
    <t>UNIFORMES CBBOXE</t>
  </si>
  <si>
    <t>PAGSEGURO INTERNET S/A</t>
  </si>
  <si>
    <t>08.561.701/0001-01</t>
  </si>
  <si>
    <t>SONIMED DIAGNOSTIO MEDICO LTDA</t>
  </si>
  <si>
    <t>52.369.931/0001-65</t>
  </si>
  <si>
    <t>EXAMES CLÍNICOS</t>
  </si>
  <si>
    <t>CONFIDENCE AIR LTDA</t>
  </si>
  <si>
    <t>29.292.659/0001-40</t>
  </si>
  <si>
    <t>INSTALAÇAO MANUT AR COND</t>
  </si>
  <si>
    <t>REGINALDO BEZERRA CHAVEIRO ME</t>
  </si>
  <si>
    <t>09.419.901/0001-97</t>
  </si>
  <si>
    <t>CHAVES NOVA SEDE</t>
  </si>
  <si>
    <t>CENTRO DE COSMÉTICO E PERFUMARIA YULE LTDA</t>
  </si>
  <si>
    <t>15.561.564/0001-70</t>
  </si>
  <si>
    <t>REMÉDIOS E FARMACIA</t>
  </si>
  <si>
    <t>MULTI TROFEUS - TROFEUS E MEDALHAS LTDA</t>
  </si>
  <si>
    <t>09.498.341/0001-03</t>
  </si>
  <si>
    <t>TROFEUS E MEDALHAS</t>
  </si>
  <si>
    <t>JONATAS SILVA SANTOS</t>
  </si>
  <si>
    <t>21.190.334/0001-45</t>
  </si>
  <si>
    <t>DESPESAS COM EMPREGADOS (CLT, DIRIGENTES E AUTÔNOMOS)</t>
  </si>
  <si>
    <t>CARGO</t>
  </si>
  <si>
    <t>LOTAÇÃO</t>
  </si>
  <si>
    <t>ATIVIDADE MEIO/FIM</t>
  </si>
  <si>
    <t>SERVIÇO CONTÍNUO</t>
  </si>
  <si>
    <t>VIGENCIA</t>
  </si>
  <si>
    <t>VALOR TOTAL ANUAL</t>
  </si>
  <si>
    <t xml:space="preserve">ALESSANDRA BRITO DE OLIVEIRA </t>
  </si>
  <si>
    <t>COORDENADOR(A) DE CENTRO DE TREINAMENTO</t>
  </si>
  <si>
    <t>CENTRO DE TREINAMENTO</t>
  </si>
  <si>
    <t>FIM</t>
  </si>
  <si>
    <t>AMONIO DE LIMA SILVA</t>
  </si>
  <si>
    <t>TÉCNICO</t>
  </si>
  <si>
    <t>CLAUDINEI RODRIGUES</t>
  </si>
  <si>
    <t>AUXILIAR DE SERVIÇOS GERAIS</t>
  </si>
  <si>
    <t xml:space="preserve">CLAUDIO MARCIO AIRES DA SILVA </t>
  </si>
  <si>
    <t>ERICA FERNANDA GONÇALVES OLIVEIRA</t>
  </si>
  <si>
    <t>NUTRICIONISTA</t>
  </si>
  <si>
    <t>FABIO CONRADO COSTA</t>
  </si>
  <si>
    <t>FISIOTERAPEUTA</t>
  </si>
  <si>
    <t>FELIPE ROMANO</t>
  </si>
  <si>
    <t>PREPARADOR FÍSICO</t>
  </si>
  <si>
    <t>JOÃO CARLOS SOARES MARTINS</t>
  </si>
  <si>
    <t>MASSOTERAPEUTA</t>
  </si>
  <si>
    <t>LEONARDO COSTA MACEDO</t>
  </si>
  <si>
    <t>MARISA MARKUNAS</t>
  </si>
  <si>
    <t>PSICÓLOGO (A)</t>
  </si>
  <si>
    <t>MATEUS DOMINGUES ALVES</t>
  </si>
  <si>
    <t>OTILIO MANUEL OLIVE TOLEDO</t>
  </si>
  <si>
    <t>COORDENADOR TÉCNICO</t>
  </si>
  <si>
    <t>RAUL FREDERICO TRAETE</t>
  </si>
  <si>
    <t>AMANDA PUGLIESE RIBEIRO</t>
  </si>
  <si>
    <t>ASSISTENTE ADMINISTRATIVO</t>
  </si>
  <si>
    <t>MEIO</t>
  </si>
  <si>
    <t>CARLOS RENATO SORBILE</t>
  </si>
  <si>
    <t>GERENTE</t>
  </si>
  <si>
    <t>PATRICIA YUI YAMATE</t>
  </si>
  <si>
    <t>ANALISTA ADMINISTRATIVO</t>
  </si>
  <si>
    <t>MAURO JOSE DA SILVA</t>
  </si>
  <si>
    <t>PRESIDENTE</t>
  </si>
  <si>
    <t>MARCOS CANDIDO BRITO</t>
  </si>
  <si>
    <t>VICE PRESIDENTE</t>
  </si>
  <si>
    <t>VERONICA DE LOURDES DO NASCIMENTO</t>
  </si>
  <si>
    <t>ADVOGADO (A)</t>
  </si>
  <si>
    <t>TERCEIROS</t>
  </si>
  <si>
    <t>FUNÇÃO</t>
  </si>
  <si>
    <t>VALOR TOTAL ANO</t>
  </si>
  <si>
    <t>AUGUSTO APARECIDO SOPRAN</t>
  </si>
  <si>
    <t>ARBITRO</t>
  </si>
  <si>
    <t>ARBITRAGEM</t>
  </si>
  <si>
    <t>ERNESTO JOSE DE MORAES JUNIOR</t>
  </si>
  <si>
    <t>AUDITOR STJD</t>
  </si>
  <si>
    <t>COMISSÃO DISCIPLINAR</t>
  </si>
  <si>
    <t>FABIANO ALEXANDRE FAVAS BORGES</t>
  </si>
  <si>
    <t>JOÃO ROCHA DE PAULA</t>
  </si>
  <si>
    <t>JOSE HERMINIO BRUNO ALVES DA SILVA DE MORAES</t>
  </si>
  <si>
    <t>JOSEMAR RODRIGUES DA COSTA</t>
  </si>
  <si>
    <t>LEONARDO RODRIGUES DE PAULA ROCHA</t>
  </si>
  <si>
    <t>GENIVAL GUERRA GOMES</t>
  </si>
  <si>
    <t>EDSON DE SOUZA MENDES</t>
  </si>
  <si>
    <t>JOILSON DE SOUZA LEITE</t>
  </si>
  <si>
    <t>MARCELA PATRICIA PAULA SOUZA</t>
  </si>
  <si>
    <t>MICHELLE BURIGO PAULO</t>
  </si>
  <si>
    <t>SIRLEI VIEIRA GUSMÃO</t>
  </si>
  <si>
    <t>WOBSON WILKINSON DE OLIVEIRA</t>
  </si>
  <si>
    <t>ZILDA OLIMPIA DA SILVA</t>
  </si>
  <si>
    <t>ANDRE LUIZ FRANÇA SOUZA</t>
  </si>
  <si>
    <t>COMUNICAÇÃO</t>
  </si>
  <si>
    <t>LOCUÇÃO EVENTOS</t>
  </si>
  <si>
    <t>CASSIANA HERMANN PISANELLI</t>
  </si>
  <si>
    <t>MÉDICA</t>
  </si>
  <si>
    <t>MÉDICA EVENTOS</t>
  </si>
  <si>
    <t>BRUNO MENDES TEIXEIRA</t>
  </si>
  <si>
    <t>CONTRATO ATLETAS 2019</t>
  </si>
  <si>
    <t xml:space="preserve">NOME </t>
  </si>
  <si>
    <t>VALOR PAGO - ANO</t>
  </si>
  <si>
    <t>ATIVIDADE FIM/MEIO</t>
  </si>
  <si>
    <t>OBSERVAÇÕES</t>
  </si>
  <si>
    <t>ABNER TEIXEIRA DA SILVA JUNIOR</t>
  </si>
  <si>
    <t>01/01/2019 -  31/12/2019</t>
  </si>
  <si>
    <t>N/A</t>
  </si>
  <si>
    <t>ARILSON DA SILVA GONÇALVES</t>
  </si>
  <si>
    <t>BEATRIZ GABRIELLE GOMES OLIVEIRA SOARES</t>
  </si>
  <si>
    <t>BEATRIZ IASMIM SOARES FERREIRA</t>
  </si>
  <si>
    <t>CARLOS ANDRÉ DOS SANTOS ROCHA</t>
  </si>
  <si>
    <t>COSME HENRIQUE DOS SANTOS NASCIMENTO</t>
  </si>
  <si>
    <t>DOUGLAS SOUZA DE ANDRADE</t>
  </si>
  <si>
    <t>01/01/2019 -  31/11/2019</t>
  </si>
  <si>
    <t>FLAVIA TEREZA FIGUEIREDO</t>
  </si>
  <si>
    <t>GLEISIELE PEREIRA GOMES</t>
  </si>
  <si>
    <t>GRAZIELE JESUS DE SOUSA</t>
  </si>
  <si>
    <t>HEBERT WILIAN CARVALHO DA CONCEICAO SOUSA</t>
  </si>
  <si>
    <t>JOEL RAMOS DA SILVA</t>
  </si>
  <si>
    <t>JUCIELEN CERQUEIRA ROMEU</t>
  </si>
  <si>
    <t>KALIL LUAN BRASIL PAIVA</t>
  </si>
  <si>
    <t>KENO MARLEY MACHADO</t>
  </si>
  <si>
    <t>LUIZ FERNANDO RODRIGUES DA SILVA</t>
  </si>
  <si>
    <t>LUIZ GABRIEL DO NASCIMENTO CHALOT DE OLIVEIRA</t>
  </si>
  <si>
    <t>RONALDO BEZERRA DA SILVA</t>
  </si>
  <si>
    <t>REBECA DE LIMA SANTOS</t>
  </si>
  <si>
    <t>WANDERSON DE OLIVEIRA</t>
  </si>
  <si>
    <t>CENTRO DE TREINAMENTO - CLT</t>
  </si>
  <si>
    <t>SEDE - CLT</t>
  </si>
  <si>
    <t>SEDE - PRO LABORE</t>
  </si>
  <si>
    <t>SEDE - AUTONOMO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</si>
</sst>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164" fontId="5" fillId="0" borderId="0" xfId="0" applyNumberFormat="1" applyFont="1"/>
    <xf numFmtId="0" fontId="1" fillId="4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9" fillId="6" borderId="3" xfId="0" applyFont="1" applyFill="1" applyBorder="1" applyAlignment="1">
      <alignment vertical="center"/>
    </xf>
    <xf numFmtId="0" fontId="0" fillId="6" borderId="3" xfId="0" applyFill="1" applyBorder="1"/>
    <xf numFmtId="164" fontId="0" fillId="6" borderId="3" xfId="0" applyNumberFormat="1" applyFill="1" applyBorder="1" applyAlignment="1">
      <alignment horizontal="center"/>
    </xf>
    <xf numFmtId="0" fontId="0" fillId="0" borderId="3" xfId="0" applyBorder="1"/>
    <xf numFmtId="0" fontId="9" fillId="6" borderId="3" xfId="0" applyFont="1" applyFill="1" applyBorder="1"/>
    <xf numFmtId="0" fontId="8" fillId="0" borderId="3" xfId="0" applyFont="1" applyBorder="1"/>
    <xf numFmtId="0" fontId="8" fillId="6" borderId="3" xfId="0" applyFont="1" applyFill="1" applyBorder="1"/>
  </cellXfs>
  <cellStyles count="1">
    <cellStyle name="Normal" xfId="0" builtinId="0"/>
  </cellStyles>
  <dxfs count="55"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CC60-A91C-436C-94E1-FE9DFB5CF803}">
  <dimension ref="A1:G160"/>
  <sheetViews>
    <sheetView tabSelected="1" topLeftCell="A46" workbookViewId="0">
      <selection activeCell="C105" sqref="C105"/>
    </sheetView>
  </sheetViews>
  <sheetFormatPr defaultRowHeight="14.4" x14ac:dyDescent="0.3"/>
  <cols>
    <col min="1" max="1" width="62.88671875" bestFit="1" customWidth="1"/>
    <col min="2" max="2" width="22.44140625" bestFit="1" customWidth="1"/>
    <col min="3" max="3" width="61.33203125" bestFit="1" customWidth="1"/>
    <col min="4" max="4" width="31.44140625" bestFit="1" customWidth="1"/>
    <col min="5" max="5" width="23.77734375" bestFit="1" customWidth="1"/>
    <col min="6" max="6" width="22" bestFit="1" customWidth="1"/>
    <col min="7" max="7" width="19.33203125" bestFit="1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3"/>
      <c r="C2" s="3"/>
      <c r="D2" s="3"/>
      <c r="E2" s="3"/>
      <c r="F2" s="3"/>
      <c r="G2" s="3"/>
    </row>
    <row r="4" spans="1:7" ht="26.4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x14ac:dyDescent="0.3">
      <c r="A5" s="6" t="s">
        <v>9</v>
      </c>
      <c r="B5" s="6" t="s">
        <v>10</v>
      </c>
      <c r="C5" s="7" t="s">
        <v>11</v>
      </c>
      <c r="D5" s="7" t="s">
        <v>12</v>
      </c>
      <c r="E5" s="7" t="s">
        <v>13</v>
      </c>
      <c r="F5" s="6" t="s">
        <v>14</v>
      </c>
      <c r="G5" s="8">
        <f>17179.91+4746.88+1162.81+79601.55+960.01+1920.01+7047.5+255678.18+500+5635+95848.62+4618.36+29321.64+960.01+1920.01+78481.18+51583.84+47792.08+960.01+1393.28+9281.49+754.04+4800.04+19857.08+24954.12+4147.46+840.02+4203.04+10989.84+1759.51+40665.96+0.05+5192.38+125+1920.01+75635.12+7860.97+5760.06+57897.09+88102.77+41850.24+1672.86+7762.82+630.01+6392.4+2527.56+980.01+94425+20160+1120+27027.25+3130.54+3170.94+5488.41+2340.01+1628.41+7800.01+0.08+48000+3752.88+22940.11+224.1+108263.14+2080.01+5688.41</f>
        <v>1471112.13</v>
      </c>
    </row>
    <row r="6" spans="1:7" ht="26.4" x14ac:dyDescent="0.3">
      <c r="A6" s="6" t="s">
        <v>15</v>
      </c>
      <c r="B6" s="6" t="s">
        <v>16</v>
      </c>
      <c r="C6" s="7" t="s">
        <v>17</v>
      </c>
      <c r="D6" s="7" t="s">
        <v>18</v>
      </c>
      <c r="E6" s="7" t="s">
        <v>13</v>
      </c>
      <c r="F6" s="9" t="s">
        <v>19</v>
      </c>
      <c r="G6" s="8">
        <f>1877*11+1689.3</f>
        <v>22336.3</v>
      </c>
    </row>
    <row r="7" spans="1:7" ht="26.4" x14ac:dyDescent="0.3">
      <c r="A7" s="6" t="s">
        <v>20</v>
      </c>
      <c r="B7" s="9" t="s">
        <v>21</v>
      </c>
      <c r="C7" s="10" t="s">
        <v>22</v>
      </c>
      <c r="D7" s="10" t="s">
        <v>18</v>
      </c>
      <c r="E7" s="10" t="s">
        <v>13</v>
      </c>
      <c r="F7" s="9" t="s">
        <v>19</v>
      </c>
      <c r="G7" s="8">
        <f>2852.14+3108.54+2552.7+299.44+3051.28+3051.28+3009.9+3051.28*4+2751.84*2</f>
        <v>35634.080000000002</v>
      </c>
    </row>
    <row r="8" spans="1:7" ht="26.4" x14ac:dyDescent="0.3">
      <c r="A8" s="6" t="s">
        <v>23</v>
      </c>
      <c r="B8" s="9" t="s">
        <v>24</v>
      </c>
      <c r="C8" s="10" t="s">
        <v>22</v>
      </c>
      <c r="D8" s="10" t="s">
        <v>18</v>
      </c>
      <c r="E8" s="10" t="s">
        <v>13</v>
      </c>
      <c r="F8" s="9" t="s">
        <v>19</v>
      </c>
      <c r="G8" s="8">
        <f>2863.55+2863.55+2632.53+231.02+2863.55+3071.72*6+2840.7*2</f>
        <v>35565.919999999998</v>
      </c>
    </row>
    <row r="9" spans="1:7" ht="26.4" x14ac:dyDescent="0.3">
      <c r="A9" s="6" t="s">
        <v>25</v>
      </c>
      <c r="B9" s="9" t="s">
        <v>26</v>
      </c>
      <c r="C9" s="10" t="s">
        <v>22</v>
      </c>
      <c r="D9" s="10" t="s">
        <v>18</v>
      </c>
      <c r="E9" s="10" t="s">
        <v>13</v>
      </c>
      <c r="F9" s="9" t="s">
        <v>19</v>
      </c>
      <c r="G9" s="8">
        <f>3000.57*9+2857.04*2+143.53+2956.6</f>
        <v>35819.339999999997</v>
      </c>
    </row>
    <row r="10" spans="1:7" ht="26.4" x14ac:dyDescent="0.3">
      <c r="A10" s="6" t="s">
        <v>27</v>
      </c>
      <c r="B10" s="9" t="s">
        <v>28</v>
      </c>
      <c r="C10" s="9" t="s">
        <v>29</v>
      </c>
      <c r="D10" s="10" t="s">
        <v>18</v>
      </c>
      <c r="E10" s="10" t="s">
        <v>13</v>
      </c>
      <c r="F10" s="9" t="s">
        <v>19</v>
      </c>
      <c r="G10" s="8">
        <f>2217.51+789.11+346.24+2383.3+1461.49+2248.71+1112.43+370.69+3779.97+1586.78+3281.96+756.92+357.73+856.15+2980.07+1292.41+367.12+3720.82+756.92+5007.59+760.98+4786.75+1185.19+716.71+23.99+4010.53+917.77+4718.31+818.45+832.13+965.91</f>
        <v>55410.639999999992</v>
      </c>
    </row>
    <row r="11" spans="1:7" x14ac:dyDescent="0.3">
      <c r="A11" s="10" t="s">
        <v>30</v>
      </c>
      <c r="B11" s="9" t="s">
        <v>31</v>
      </c>
      <c r="C11" s="9" t="s">
        <v>32</v>
      </c>
      <c r="D11" s="9" t="s">
        <v>12</v>
      </c>
      <c r="E11" s="9" t="s">
        <v>13</v>
      </c>
      <c r="F11" s="9" t="s">
        <v>19</v>
      </c>
      <c r="G11" s="8">
        <f>29811.6+23109.3+39468.6+11654.53+27769.07+28325.73+27349+29026.2+18862.2+7938+25292.4+13371.4</f>
        <v>281978.03000000009</v>
      </c>
    </row>
    <row r="12" spans="1:7" x14ac:dyDescent="0.3">
      <c r="A12" s="6" t="s">
        <v>33</v>
      </c>
      <c r="B12" s="9" t="s">
        <v>34</v>
      </c>
      <c r="C12" s="9" t="s">
        <v>35</v>
      </c>
      <c r="D12" s="9" t="s">
        <v>36</v>
      </c>
      <c r="E12" s="9" t="s">
        <v>13</v>
      </c>
      <c r="F12" s="9" t="s">
        <v>19</v>
      </c>
      <c r="G12" s="8">
        <f>221.12+284.23+408.37+476.9+278.21+318.01+209.27+499.3+291.02+197.86+355.01+168.79+494.94+122.57+605.4+683.11+174.91+647.53+180.87+224.21+174.94+230.59+97.2+108.13+550.37</f>
        <v>8002.8599999999979</v>
      </c>
    </row>
    <row r="13" spans="1:7" ht="26.4" x14ac:dyDescent="0.3">
      <c r="A13" s="6" t="s">
        <v>37</v>
      </c>
      <c r="B13" s="9" t="s">
        <v>38</v>
      </c>
      <c r="C13" s="9" t="s">
        <v>39</v>
      </c>
      <c r="D13" s="10" t="s">
        <v>18</v>
      </c>
      <c r="E13" s="10" t="s">
        <v>13</v>
      </c>
      <c r="F13" s="9" t="s">
        <v>19</v>
      </c>
      <c r="G13" s="8">
        <f>589.1+2322.5+318.01+606.55+366+924.8+260.75+165.9+271.5+300+193.8+165.9</f>
        <v>6484.8099999999995</v>
      </c>
    </row>
    <row r="14" spans="1:7" ht="26.4" x14ac:dyDescent="0.3">
      <c r="A14" s="6" t="s">
        <v>40</v>
      </c>
      <c r="B14" s="9" t="s">
        <v>41</v>
      </c>
      <c r="C14" s="9" t="s">
        <v>42</v>
      </c>
      <c r="D14" s="10" t="s">
        <v>18</v>
      </c>
      <c r="E14" s="10" t="s">
        <v>13</v>
      </c>
      <c r="F14" s="9" t="s">
        <v>19</v>
      </c>
      <c r="G14" s="8">
        <f>4808.05*4+4808.75*3+5027.61*3</f>
        <v>48741.279999999999</v>
      </c>
    </row>
    <row r="15" spans="1:7" ht="26.4" x14ac:dyDescent="0.3">
      <c r="A15" s="6" t="s">
        <v>43</v>
      </c>
      <c r="B15" s="9" t="s">
        <v>44</v>
      </c>
      <c r="C15" s="9" t="s">
        <v>45</v>
      </c>
      <c r="D15" s="10" t="s">
        <v>18</v>
      </c>
      <c r="E15" s="10" t="s">
        <v>13</v>
      </c>
      <c r="F15" s="9" t="s">
        <v>19</v>
      </c>
      <c r="G15" s="8">
        <f>98.47+196.38+107.89+98.19+107.85+105.7+105.3+108.06</f>
        <v>927.83999999999992</v>
      </c>
    </row>
    <row r="16" spans="1:7" ht="26.4" x14ac:dyDescent="0.3">
      <c r="A16" s="6" t="s">
        <v>46</v>
      </c>
      <c r="B16" s="9" t="s">
        <v>47</v>
      </c>
      <c r="C16" s="9" t="s">
        <v>29</v>
      </c>
      <c r="D16" s="10" t="s">
        <v>18</v>
      </c>
      <c r="E16" s="10" t="s">
        <v>13</v>
      </c>
      <c r="F16" s="9" t="s">
        <v>19</v>
      </c>
      <c r="G16" s="8">
        <f>53.98*4</f>
        <v>215.92</v>
      </c>
    </row>
    <row r="17" spans="1:7" x14ac:dyDescent="0.3">
      <c r="A17" s="6" t="s">
        <v>48</v>
      </c>
      <c r="B17" s="9" t="s">
        <v>49</v>
      </c>
      <c r="C17" s="9" t="s">
        <v>50</v>
      </c>
      <c r="D17" s="10" t="s">
        <v>36</v>
      </c>
      <c r="E17" s="10" t="s">
        <v>13</v>
      </c>
      <c r="F17" s="9" t="s">
        <v>19</v>
      </c>
      <c r="G17" s="8">
        <f>613.77+100.9+100.9+977.35+103.05+726.69+100.9+320.54+604.37+101.68+105.66+371.49+105.66+365.22+709.01+105.66+773.88+195.08+294.82+273.01+290.72+227.38</f>
        <v>7567.74</v>
      </c>
    </row>
    <row r="18" spans="1:7" x14ac:dyDescent="0.3">
      <c r="A18" s="6" t="s">
        <v>51</v>
      </c>
      <c r="B18" s="9" t="s">
        <v>52</v>
      </c>
      <c r="C18" s="9" t="s">
        <v>53</v>
      </c>
      <c r="D18" s="10" t="s">
        <v>36</v>
      </c>
      <c r="E18" s="10" t="s">
        <v>13</v>
      </c>
      <c r="F18" s="9" t="s">
        <v>19</v>
      </c>
      <c r="G18" s="8">
        <f>766.5+373.35+245.7+203.6+383.7+438.35+187.75+526.5+268.4+277.2+100+270.3</f>
        <v>4041.35</v>
      </c>
    </row>
    <row r="19" spans="1:7" ht="26.4" x14ac:dyDescent="0.3">
      <c r="A19" s="6" t="s">
        <v>54</v>
      </c>
      <c r="B19" s="6" t="s">
        <v>55</v>
      </c>
      <c r="C19" s="6" t="s">
        <v>56</v>
      </c>
      <c r="D19" s="7" t="s">
        <v>18</v>
      </c>
      <c r="E19" s="7" t="s">
        <v>13</v>
      </c>
      <c r="F19" s="9" t="s">
        <v>19</v>
      </c>
      <c r="G19" s="8">
        <f>5.5+23.6+20.7+10.1+16.8+6.9+10+30</f>
        <v>123.60000000000001</v>
      </c>
    </row>
    <row r="20" spans="1:7" x14ac:dyDescent="0.3">
      <c r="A20" s="6" t="s">
        <v>57</v>
      </c>
      <c r="B20" s="9" t="s">
        <v>58</v>
      </c>
      <c r="C20" s="9" t="s">
        <v>59</v>
      </c>
      <c r="D20" s="10" t="s">
        <v>12</v>
      </c>
      <c r="E20" s="10" t="s">
        <v>13</v>
      </c>
      <c r="F20" s="9" t="s">
        <v>19</v>
      </c>
      <c r="G20" s="8">
        <f>3503.77+2469.59+3601.14+2417.99+2226.57+3719.39+3429.92+3295.62+3495.66+3061.35+5079.29+4654.29</f>
        <v>40954.58</v>
      </c>
    </row>
    <row r="21" spans="1:7" ht="26.4" x14ac:dyDescent="0.3">
      <c r="A21" s="7" t="s">
        <v>60</v>
      </c>
      <c r="B21" s="7" t="s">
        <v>61</v>
      </c>
      <c r="C21" s="7" t="s">
        <v>62</v>
      </c>
      <c r="D21" s="7" t="s">
        <v>18</v>
      </c>
      <c r="E21" s="7" t="s">
        <v>13</v>
      </c>
      <c r="F21" s="9" t="s">
        <v>19</v>
      </c>
      <c r="G21" s="8">
        <f>276.75+6295.09+3405.81+2612.5+2808.44+2524.99+2646.48+2646.48+2534.12+2956.06+2268.94+8214+2612.5</f>
        <v>41802.160000000003</v>
      </c>
    </row>
    <row r="22" spans="1:7" ht="26.4" x14ac:dyDescent="0.3">
      <c r="A22" s="7" t="s">
        <v>63</v>
      </c>
      <c r="B22" s="6" t="s">
        <v>64</v>
      </c>
      <c r="C22" s="6" t="s">
        <v>65</v>
      </c>
      <c r="D22" s="7" t="s">
        <v>18</v>
      </c>
      <c r="E22" s="7" t="s">
        <v>66</v>
      </c>
      <c r="F22" s="9" t="s">
        <v>19</v>
      </c>
      <c r="G22" s="8">
        <f>16398.45+17998.2+95365.61+1629.93+9925+152.64+774.13+9050.67+1596+17901+2269.8+221.88+21848.4+3121.2+274.67+59520+12656.24+7571.64+16634.17+1614.83+200.74+27687.4+2250+23.02+2034.9+1686.87+22503.6+77.55+2486.68+34407.1+7050</f>
        <v>396932.32000000007</v>
      </c>
    </row>
    <row r="23" spans="1:7" ht="26.4" x14ac:dyDescent="0.3">
      <c r="A23" s="9" t="s">
        <v>67</v>
      </c>
      <c r="B23" s="6" t="s">
        <v>68</v>
      </c>
      <c r="C23" s="6" t="s">
        <v>69</v>
      </c>
      <c r="D23" s="7" t="s">
        <v>18</v>
      </c>
      <c r="E23" s="7" t="s">
        <v>66</v>
      </c>
      <c r="F23" s="9" t="s">
        <v>19</v>
      </c>
      <c r="G23" s="8">
        <f>3376+2974.9+392.8+630.2+4852.79</f>
        <v>12226.689999999999</v>
      </c>
    </row>
    <row r="24" spans="1:7" ht="26.4" x14ac:dyDescent="0.3">
      <c r="A24" s="11" t="s">
        <v>70</v>
      </c>
      <c r="B24" s="12" t="s">
        <v>71</v>
      </c>
      <c r="C24" s="12" t="s">
        <v>72</v>
      </c>
      <c r="D24" s="11" t="s">
        <v>18</v>
      </c>
      <c r="E24" s="11" t="s">
        <v>66</v>
      </c>
      <c r="F24" s="12" t="s">
        <v>19</v>
      </c>
      <c r="G24" s="13">
        <f>4470</f>
        <v>4470</v>
      </c>
    </row>
    <row r="25" spans="1:7" ht="26.4" x14ac:dyDescent="0.3">
      <c r="A25" s="14" t="s">
        <v>73</v>
      </c>
      <c r="B25" s="14" t="s">
        <v>74</v>
      </c>
      <c r="C25" s="14" t="s">
        <v>75</v>
      </c>
      <c r="D25" s="14" t="s">
        <v>18</v>
      </c>
      <c r="E25" s="14" t="s">
        <v>13</v>
      </c>
      <c r="F25" s="6" t="s">
        <v>19</v>
      </c>
      <c r="G25" s="13">
        <f>2171.65*3+2359.49*4</f>
        <v>15952.91</v>
      </c>
    </row>
    <row r="26" spans="1:7" ht="26.4" x14ac:dyDescent="0.3">
      <c r="A26" s="10" t="s">
        <v>76</v>
      </c>
      <c r="B26" s="10" t="s">
        <v>77</v>
      </c>
      <c r="C26" s="10" t="s">
        <v>78</v>
      </c>
      <c r="D26" s="10" t="s">
        <v>18</v>
      </c>
      <c r="E26" s="10" t="s">
        <v>66</v>
      </c>
      <c r="F26" s="7" t="s">
        <v>19</v>
      </c>
      <c r="G26" s="15">
        <f>2072.2*11</f>
        <v>22794.199999999997</v>
      </c>
    </row>
    <row r="27" spans="1:7" ht="26.4" x14ac:dyDescent="0.3">
      <c r="A27" s="7" t="s">
        <v>79</v>
      </c>
      <c r="B27" s="7" t="s">
        <v>80</v>
      </c>
      <c r="C27" s="11" t="s">
        <v>69</v>
      </c>
      <c r="D27" s="11" t="s">
        <v>18</v>
      </c>
      <c r="E27" s="11" t="s">
        <v>66</v>
      </c>
      <c r="F27" s="11" t="s">
        <v>19</v>
      </c>
      <c r="G27" s="15">
        <f>2850</f>
        <v>2850</v>
      </c>
    </row>
    <row r="28" spans="1:7" ht="26.4" x14ac:dyDescent="0.3">
      <c r="A28" s="10" t="s">
        <v>81</v>
      </c>
      <c r="B28" s="10" t="s">
        <v>82</v>
      </c>
      <c r="C28" s="10" t="s">
        <v>69</v>
      </c>
      <c r="D28" s="11" t="s">
        <v>18</v>
      </c>
      <c r="E28" s="11" t="s">
        <v>66</v>
      </c>
      <c r="F28" s="7" t="s">
        <v>19</v>
      </c>
      <c r="G28" s="15">
        <f>1170+1510</f>
        <v>2680</v>
      </c>
    </row>
    <row r="29" spans="1:7" ht="26.4" x14ac:dyDescent="0.3">
      <c r="A29" s="10" t="s">
        <v>83</v>
      </c>
      <c r="B29" s="10" t="s">
        <v>84</v>
      </c>
      <c r="C29" s="10" t="s">
        <v>85</v>
      </c>
      <c r="D29" s="11" t="s">
        <v>18</v>
      </c>
      <c r="E29" s="11" t="s">
        <v>66</v>
      </c>
      <c r="F29" s="7" t="s">
        <v>19</v>
      </c>
      <c r="G29" s="15">
        <f>287.47+985.18+2420.99+868.92+795.61+59.66+387.9</f>
        <v>5805.7299999999987</v>
      </c>
    </row>
    <row r="30" spans="1:7" ht="26.4" x14ac:dyDescent="0.3">
      <c r="A30" s="10" t="s">
        <v>86</v>
      </c>
      <c r="B30" s="16" t="s">
        <v>87</v>
      </c>
      <c r="C30" s="17" t="s">
        <v>88</v>
      </c>
      <c r="D30" s="11" t="s">
        <v>18</v>
      </c>
      <c r="E30" s="11" t="s">
        <v>66</v>
      </c>
      <c r="F30" s="11" t="s">
        <v>19</v>
      </c>
      <c r="G30" s="15">
        <f>3860.69+399.99+223.13</f>
        <v>4483.8100000000004</v>
      </c>
    </row>
    <row r="31" spans="1:7" ht="26.4" x14ac:dyDescent="0.3">
      <c r="A31" s="10" t="s">
        <v>89</v>
      </c>
      <c r="B31" s="10" t="s">
        <v>90</v>
      </c>
      <c r="C31" s="10" t="s">
        <v>91</v>
      </c>
      <c r="D31" s="11" t="s">
        <v>18</v>
      </c>
      <c r="E31" s="11" t="s">
        <v>66</v>
      </c>
      <c r="F31" s="7" t="s">
        <v>19</v>
      </c>
      <c r="G31" s="15">
        <f>5300</f>
        <v>5300</v>
      </c>
    </row>
    <row r="32" spans="1:7" ht="26.4" x14ac:dyDescent="0.3">
      <c r="A32" s="10" t="s">
        <v>92</v>
      </c>
      <c r="B32" s="10" t="s">
        <v>93</v>
      </c>
      <c r="C32" s="10" t="s">
        <v>85</v>
      </c>
      <c r="D32" s="11" t="s">
        <v>18</v>
      </c>
      <c r="E32" s="11" t="s">
        <v>66</v>
      </c>
      <c r="F32" s="7" t="s">
        <v>19</v>
      </c>
      <c r="G32" s="15">
        <f>1939.57+1142.28</f>
        <v>3081.85</v>
      </c>
    </row>
    <row r="33" spans="1:7" x14ac:dyDescent="0.3">
      <c r="A33" s="10" t="s">
        <v>94</v>
      </c>
      <c r="B33" s="10" t="s">
        <v>95</v>
      </c>
      <c r="C33" s="10" t="s">
        <v>96</v>
      </c>
      <c r="D33" s="10" t="s">
        <v>12</v>
      </c>
      <c r="E33" s="10" t="s">
        <v>66</v>
      </c>
      <c r="F33" s="7" t="s">
        <v>19</v>
      </c>
      <c r="G33" s="15">
        <f>1072</f>
        <v>1072</v>
      </c>
    </row>
    <row r="34" spans="1:7" x14ac:dyDescent="0.3">
      <c r="A34" s="7" t="s">
        <v>97</v>
      </c>
      <c r="B34" s="7" t="s">
        <v>98</v>
      </c>
      <c r="C34" s="7" t="s">
        <v>99</v>
      </c>
      <c r="D34" s="7" t="s">
        <v>12</v>
      </c>
      <c r="E34" s="7" t="s">
        <v>66</v>
      </c>
      <c r="F34" s="7" t="s">
        <v>19</v>
      </c>
      <c r="G34" s="15">
        <f>12183.62</f>
        <v>12183.62</v>
      </c>
    </row>
    <row r="35" spans="1:7" ht="26.4" x14ac:dyDescent="0.3">
      <c r="A35" s="7" t="s">
        <v>100</v>
      </c>
      <c r="B35" s="7" t="s">
        <v>101</v>
      </c>
      <c r="C35" s="7" t="s">
        <v>91</v>
      </c>
      <c r="D35" s="7" t="s">
        <v>18</v>
      </c>
      <c r="E35" s="7" t="s">
        <v>66</v>
      </c>
      <c r="F35" s="7" t="s">
        <v>19</v>
      </c>
      <c r="G35" s="15">
        <f>1300+300+59.32+290.68</f>
        <v>1950</v>
      </c>
    </row>
    <row r="36" spans="1:7" ht="26.4" x14ac:dyDescent="0.3">
      <c r="A36" s="7" t="s">
        <v>102</v>
      </c>
      <c r="B36" s="7" t="s">
        <v>103</v>
      </c>
      <c r="C36" s="7" t="s">
        <v>85</v>
      </c>
      <c r="D36" s="7" t="s">
        <v>18</v>
      </c>
      <c r="E36" s="7" t="s">
        <v>66</v>
      </c>
      <c r="F36" s="7" t="s">
        <v>19</v>
      </c>
      <c r="G36" s="15">
        <f>1605+1700+126.93</f>
        <v>3431.93</v>
      </c>
    </row>
    <row r="37" spans="1:7" ht="26.4" x14ac:dyDescent="0.3">
      <c r="A37" s="7" t="s">
        <v>104</v>
      </c>
      <c r="B37" s="7" t="s">
        <v>105</v>
      </c>
      <c r="C37" s="7" t="s">
        <v>106</v>
      </c>
      <c r="D37" s="7" t="s">
        <v>18</v>
      </c>
      <c r="E37" s="7" t="s">
        <v>66</v>
      </c>
      <c r="F37" s="7" t="s">
        <v>19</v>
      </c>
      <c r="G37" s="15">
        <f>4531.38+10545.71</f>
        <v>15077.09</v>
      </c>
    </row>
    <row r="38" spans="1:7" ht="26.4" x14ac:dyDescent="0.3">
      <c r="A38" s="7" t="s">
        <v>107</v>
      </c>
      <c r="B38" s="7" t="s">
        <v>108</v>
      </c>
      <c r="C38" s="7" t="s">
        <v>85</v>
      </c>
      <c r="D38" s="7" t="s">
        <v>18</v>
      </c>
      <c r="E38" s="7" t="s">
        <v>66</v>
      </c>
      <c r="F38" s="7" t="s">
        <v>19</v>
      </c>
      <c r="G38" s="15">
        <v>308.89999999999998</v>
      </c>
    </row>
    <row r="39" spans="1:7" ht="26.4" x14ac:dyDescent="0.3">
      <c r="A39" s="7" t="s">
        <v>109</v>
      </c>
      <c r="B39" s="7" t="s">
        <v>110</v>
      </c>
      <c r="C39" s="7" t="s">
        <v>85</v>
      </c>
      <c r="D39" s="7" t="s">
        <v>18</v>
      </c>
      <c r="E39" s="7" t="s">
        <v>66</v>
      </c>
      <c r="F39" s="7" t="s">
        <v>19</v>
      </c>
      <c r="G39" s="15">
        <f>1218.47</f>
        <v>1218.47</v>
      </c>
    </row>
    <row r="40" spans="1:7" ht="26.4" x14ac:dyDescent="0.3">
      <c r="A40" s="7" t="s">
        <v>111</v>
      </c>
      <c r="B40" s="7" t="s">
        <v>112</v>
      </c>
      <c r="C40" s="7" t="s">
        <v>113</v>
      </c>
      <c r="D40" s="7" t="s">
        <v>18</v>
      </c>
      <c r="E40" s="7" t="s">
        <v>66</v>
      </c>
      <c r="F40" s="7" t="s">
        <v>19</v>
      </c>
      <c r="G40" s="15">
        <f>345+743.7</f>
        <v>1088.7</v>
      </c>
    </row>
    <row r="41" spans="1:7" ht="26.4" x14ac:dyDescent="0.3">
      <c r="A41" s="11" t="s">
        <v>114</v>
      </c>
      <c r="B41" s="11" t="s">
        <v>115</v>
      </c>
      <c r="C41" s="11" t="s">
        <v>116</v>
      </c>
      <c r="D41" s="11" t="s">
        <v>18</v>
      </c>
      <c r="E41" s="11" t="s">
        <v>66</v>
      </c>
      <c r="F41" s="11" t="s">
        <v>19</v>
      </c>
      <c r="G41" s="18">
        <f>477+94+577+424+900</f>
        <v>2472</v>
      </c>
    </row>
    <row r="42" spans="1:7" ht="26.4" x14ac:dyDescent="0.3">
      <c r="A42" s="19" t="s">
        <v>117</v>
      </c>
      <c r="B42" s="20" t="s">
        <v>118</v>
      </c>
      <c r="C42" s="20" t="s">
        <v>119</v>
      </c>
      <c r="D42" s="20" t="s">
        <v>18</v>
      </c>
      <c r="E42" s="20" t="s">
        <v>66</v>
      </c>
      <c r="F42" s="21" t="s">
        <v>19</v>
      </c>
      <c r="G42" s="22">
        <v>382</v>
      </c>
    </row>
    <row r="43" spans="1:7" ht="26.4" x14ac:dyDescent="0.3">
      <c r="A43" s="19" t="s">
        <v>120</v>
      </c>
      <c r="B43" s="20" t="s">
        <v>118</v>
      </c>
      <c r="C43" s="20" t="s">
        <v>121</v>
      </c>
      <c r="D43" s="20" t="s">
        <v>18</v>
      </c>
      <c r="E43" s="20" t="s">
        <v>66</v>
      </c>
      <c r="F43" s="21" t="s">
        <v>19</v>
      </c>
      <c r="G43" s="22">
        <f>1002.63+1403.99+1987.35+2000+2000+1996.04</f>
        <v>10390.009999999998</v>
      </c>
    </row>
    <row r="44" spans="1:7" ht="26.4" x14ac:dyDescent="0.3">
      <c r="A44" s="21" t="s">
        <v>122</v>
      </c>
      <c r="B44" s="21" t="s">
        <v>123</v>
      </c>
      <c r="C44" s="21" t="s">
        <v>124</v>
      </c>
      <c r="D44" s="21" t="s">
        <v>18</v>
      </c>
      <c r="E44" s="21" t="s">
        <v>66</v>
      </c>
      <c r="F44" s="21" t="s">
        <v>19</v>
      </c>
      <c r="G44" s="22">
        <v>3760</v>
      </c>
    </row>
    <row r="45" spans="1:7" ht="26.4" x14ac:dyDescent="0.3">
      <c r="A45" s="19" t="s">
        <v>125</v>
      </c>
      <c r="B45" s="20" t="s">
        <v>126</v>
      </c>
      <c r="C45" s="20" t="s">
        <v>124</v>
      </c>
      <c r="D45" s="20" t="s">
        <v>18</v>
      </c>
      <c r="E45" s="20" t="s">
        <v>66</v>
      </c>
      <c r="F45" s="21" t="s">
        <v>19</v>
      </c>
      <c r="G45" s="22">
        <f>2480</f>
        <v>2480</v>
      </c>
    </row>
    <row r="46" spans="1:7" ht="26.4" x14ac:dyDescent="0.3">
      <c r="A46" s="21" t="s">
        <v>127</v>
      </c>
      <c r="B46" s="20" t="s">
        <v>128</v>
      </c>
      <c r="C46" s="20" t="s">
        <v>129</v>
      </c>
      <c r="D46" s="20" t="s">
        <v>18</v>
      </c>
      <c r="E46" s="20" t="s">
        <v>66</v>
      </c>
      <c r="F46" s="21" t="s">
        <v>19</v>
      </c>
      <c r="G46" s="22">
        <f>23220.01+7300+13309+2900+1094.6+15000</f>
        <v>62823.609999999993</v>
      </c>
    </row>
    <row r="47" spans="1:7" ht="26.4" x14ac:dyDescent="0.3">
      <c r="A47" s="19" t="s">
        <v>130</v>
      </c>
      <c r="B47" s="20" t="s">
        <v>131</v>
      </c>
      <c r="C47" s="20" t="s">
        <v>124</v>
      </c>
      <c r="D47" s="20" t="s">
        <v>18</v>
      </c>
      <c r="E47" s="20" t="s">
        <v>66</v>
      </c>
      <c r="F47" s="21" t="s">
        <v>19</v>
      </c>
      <c r="G47" s="22">
        <v>250</v>
      </c>
    </row>
    <row r="48" spans="1:7" ht="26.4" x14ac:dyDescent="0.3">
      <c r="A48" s="19" t="s">
        <v>132</v>
      </c>
      <c r="B48" s="20" t="s">
        <v>133</v>
      </c>
      <c r="C48" s="20" t="s">
        <v>134</v>
      </c>
      <c r="D48" s="20" t="s">
        <v>18</v>
      </c>
      <c r="E48" s="20" t="s">
        <v>66</v>
      </c>
      <c r="F48" s="21" t="s">
        <v>19</v>
      </c>
      <c r="G48" s="22">
        <f>499.95+2676.32+399.6</f>
        <v>3575.87</v>
      </c>
    </row>
    <row r="49" spans="1:7" ht="26.4" x14ac:dyDescent="0.3">
      <c r="A49" s="19" t="s">
        <v>135</v>
      </c>
      <c r="B49" s="20" t="s">
        <v>136</v>
      </c>
      <c r="C49" s="20" t="s">
        <v>137</v>
      </c>
      <c r="D49" s="20" t="s">
        <v>18</v>
      </c>
      <c r="E49" s="20" t="s">
        <v>66</v>
      </c>
      <c r="F49" s="21" t="s">
        <v>19</v>
      </c>
      <c r="G49" s="22">
        <f>2643.8+1177.19</f>
        <v>3820.9900000000002</v>
      </c>
    </row>
    <row r="50" spans="1:7" ht="26.4" x14ac:dyDescent="0.3">
      <c r="A50" s="19" t="s">
        <v>138</v>
      </c>
      <c r="B50" s="20" t="s">
        <v>139</v>
      </c>
      <c r="C50" s="20" t="s">
        <v>140</v>
      </c>
      <c r="D50" s="20" t="s">
        <v>18</v>
      </c>
      <c r="E50" s="20" t="s">
        <v>66</v>
      </c>
      <c r="F50" s="21" t="s">
        <v>19</v>
      </c>
      <c r="G50" s="22">
        <f>11669.46+9877.2</f>
        <v>21546.66</v>
      </c>
    </row>
    <row r="51" spans="1:7" x14ac:dyDescent="0.3">
      <c r="A51" s="19" t="s">
        <v>141</v>
      </c>
      <c r="B51" s="20" t="s">
        <v>142</v>
      </c>
      <c r="C51" s="20" t="s">
        <v>143</v>
      </c>
      <c r="D51" s="20" t="s">
        <v>12</v>
      </c>
      <c r="E51" s="20" t="s">
        <v>66</v>
      </c>
      <c r="F51" s="21" t="s">
        <v>19</v>
      </c>
      <c r="G51" s="22">
        <f>41364.3</f>
        <v>41364.300000000003</v>
      </c>
    </row>
    <row r="52" spans="1:7" ht="26.4" x14ac:dyDescent="0.3">
      <c r="A52" s="19" t="s">
        <v>144</v>
      </c>
      <c r="B52" s="20" t="s">
        <v>145</v>
      </c>
      <c r="C52" s="20" t="s">
        <v>85</v>
      </c>
      <c r="D52" s="20" t="s">
        <v>18</v>
      </c>
      <c r="E52" s="20" t="s">
        <v>66</v>
      </c>
      <c r="F52" s="21" t="s">
        <v>19</v>
      </c>
      <c r="G52" s="22">
        <f>11130</f>
        <v>11130</v>
      </c>
    </row>
    <row r="53" spans="1:7" ht="26.4" x14ac:dyDescent="0.3">
      <c r="A53" s="19" t="s">
        <v>146</v>
      </c>
      <c r="B53" s="20" t="s">
        <v>147</v>
      </c>
      <c r="C53" s="20" t="s">
        <v>134</v>
      </c>
      <c r="D53" s="20" t="s">
        <v>18</v>
      </c>
      <c r="E53" s="20" t="s">
        <v>66</v>
      </c>
      <c r="F53" s="21" t="s">
        <v>19</v>
      </c>
      <c r="G53" s="22">
        <f>4060.42+9257.32+6.77+3887</f>
        <v>17211.510000000002</v>
      </c>
    </row>
    <row r="54" spans="1:7" ht="26.4" x14ac:dyDescent="0.3">
      <c r="A54" s="19" t="s">
        <v>148</v>
      </c>
      <c r="B54" s="20" t="s">
        <v>149</v>
      </c>
      <c r="C54" s="20" t="s">
        <v>150</v>
      </c>
      <c r="D54" s="20" t="s">
        <v>18</v>
      </c>
      <c r="E54" s="20" t="s">
        <v>66</v>
      </c>
      <c r="F54" s="21" t="s">
        <v>19</v>
      </c>
      <c r="G54" s="22">
        <f>605+160</f>
        <v>765</v>
      </c>
    </row>
    <row r="55" spans="1:7" ht="26.4" x14ac:dyDescent="0.3">
      <c r="A55" s="19" t="s">
        <v>151</v>
      </c>
      <c r="B55" s="20" t="s">
        <v>152</v>
      </c>
      <c r="C55" s="20" t="s">
        <v>153</v>
      </c>
      <c r="D55" s="20" t="s">
        <v>154</v>
      </c>
      <c r="E55" s="20" t="s">
        <v>66</v>
      </c>
      <c r="F55" s="21" t="s">
        <v>19</v>
      </c>
      <c r="G55" s="22">
        <f>695.58</f>
        <v>695.58</v>
      </c>
    </row>
    <row r="56" spans="1:7" x14ac:dyDescent="0.3">
      <c r="A56" s="19" t="s">
        <v>155</v>
      </c>
      <c r="B56" s="20" t="s">
        <v>156</v>
      </c>
      <c r="C56" s="20" t="s">
        <v>157</v>
      </c>
      <c r="D56" s="20" t="s">
        <v>154</v>
      </c>
      <c r="E56" s="20" t="s">
        <v>66</v>
      </c>
      <c r="F56" s="21" t="s">
        <v>19</v>
      </c>
      <c r="G56" s="22">
        <f>137.5</f>
        <v>137.5</v>
      </c>
    </row>
    <row r="57" spans="1:7" x14ac:dyDescent="0.3">
      <c r="A57" s="19" t="s">
        <v>158</v>
      </c>
      <c r="B57" s="20" t="s">
        <v>159</v>
      </c>
      <c r="C57" s="20" t="s">
        <v>160</v>
      </c>
      <c r="D57" s="20" t="s">
        <v>161</v>
      </c>
      <c r="E57" s="20" t="s">
        <v>66</v>
      </c>
      <c r="F57" s="21" t="s">
        <v>19</v>
      </c>
      <c r="G57" s="22">
        <v>678.13</v>
      </c>
    </row>
    <row r="58" spans="1:7" x14ac:dyDescent="0.3">
      <c r="A58" s="19" t="s">
        <v>162</v>
      </c>
      <c r="B58" s="20" t="s">
        <v>163</v>
      </c>
      <c r="C58" s="20" t="s">
        <v>164</v>
      </c>
      <c r="D58" s="20" t="s">
        <v>161</v>
      </c>
      <c r="E58" s="20" t="s">
        <v>66</v>
      </c>
      <c r="F58" s="21" t="s">
        <v>19</v>
      </c>
      <c r="G58" s="22">
        <f>162.83+610.74*10</f>
        <v>6270.23</v>
      </c>
    </row>
    <row r="59" spans="1:7" x14ac:dyDescent="0.3">
      <c r="A59" s="19" t="s">
        <v>165</v>
      </c>
      <c r="B59" s="20" t="s">
        <v>166</v>
      </c>
      <c r="C59" s="20" t="s">
        <v>150</v>
      </c>
      <c r="D59" s="20" t="s">
        <v>154</v>
      </c>
      <c r="E59" s="20" t="s">
        <v>66</v>
      </c>
      <c r="F59" s="21" t="s">
        <v>19</v>
      </c>
      <c r="G59" s="22">
        <v>535</v>
      </c>
    </row>
    <row r="60" spans="1:7" ht="26.4" x14ac:dyDescent="0.3">
      <c r="A60" s="19" t="s">
        <v>167</v>
      </c>
      <c r="B60" s="20" t="s">
        <v>168</v>
      </c>
      <c r="C60" s="20" t="s">
        <v>150</v>
      </c>
      <c r="D60" s="20" t="s">
        <v>18</v>
      </c>
      <c r="E60" s="20" t="s">
        <v>66</v>
      </c>
      <c r="F60" s="21" t="s">
        <v>19</v>
      </c>
      <c r="G60" s="22">
        <v>1300</v>
      </c>
    </row>
    <row r="61" spans="1:7" ht="26.4" x14ac:dyDescent="0.3">
      <c r="A61" s="19" t="s">
        <v>169</v>
      </c>
      <c r="B61" s="20" t="s">
        <v>170</v>
      </c>
      <c r="C61" s="20" t="s">
        <v>150</v>
      </c>
      <c r="D61" s="20" t="s">
        <v>18</v>
      </c>
      <c r="E61" s="20" t="s">
        <v>66</v>
      </c>
      <c r="F61" s="21" t="s">
        <v>19</v>
      </c>
      <c r="G61" s="22">
        <v>2918</v>
      </c>
    </row>
    <row r="62" spans="1:7" ht="26.4" x14ac:dyDescent="0.3">
      <c r="A62" s="19" t="s">
        <v>171</v>
      </c>
      <c r="B62" s="20" t="s">
        <v>172</v>
      </c>
      <c r="C62" s="20" t="s">
        <v>134</v>
      </c>
      <c r="D62" s="20" t="s">
        <v>18</v>
      </c>
      <c r="E62" s="20" t="s">
        <v>66</v>
      </c>
      <c r="F62" s="21" t="s">
        <v>19</v>
      </c>
      <c r="G62" s="22">
        <f>2365.44+2000.1</f>
        <v>4365.54</v>
      </c>
    </row>
    <row r="63" spans="1:7" ht="26.4" x14ac:dyDescent="0.3">
      <c r="A63" s="19" t="s">
        <v>173</v>
      </c>
      <c r="B63" s="20" t="s">
        <v>174</v>
      </c>
      <c r="C63" s="20" t="s">
        <v>134</v>
      </c>
      <c r="D63" s="20" t="s">
        <v>18</v>
      </c>
      <c r="E63" s="20" t="s">
        <v>66</v>
      </c>
      <c r="F63" s="21" t="s">
        <v>19</v>
      </c>
      <c r="G63" s="22">
        <v>3475</v>
      </c>
    </row>
    <row r="64" spans="1:7" x14ac:dyDescent="0.3">
      <c r="A64" s="19" t="s">
        <v>175</v>
      </c>
      <c r="B64" s="20" t="s">
        <v>176</v>
      </c>
      <c r="C64" s="20" t="s">
        <v>177</v>
      </c>
      <c r="D64" s="20" t="s">
        <v>154</v>
      </c>
      <c r="E64" s="20" t="s">
        <v>66</v>
      </c>
      <c r="F64" s="21" t="s">
        <v>19</v>
      </c>
      <c r="G64" s="22">
        <f>257.25+257.25</f>
        <v>514.5</v>
      </c>
    </row>
    <row r="65" spans="1:7" ht="26.4" x14ac:dyDescent="0.3">
      <c r="A65" s="19" t="s">
        <v>178</v>
      </c>
      <c r="B65" s="20" t="s">
        <v>179</v>
      </c>
      <c r="C65" s="20" t="s">
        <v>85</v>
      </c>
      <c r="D65" s="20" t="s">
        <v>18</v>
      </c>
      <c r="E65" s="20" t="s">
        <v>66</v>
      </c>
      <c r="F65" s="21" t="s">
        <v>19</v>
      </c>
      <c r="G65" s="22">
        <v>1096.76</v>
      </c>
    </row>
    <row r="66" spans="1:7" ht="26.4" x14ac:dyDescent="0.3">
      <c r="A66" s="19" t="s">
        <v>180</v>
      </c>
      <c r="B66" s="20" t="s">
        <v>181</v>
      </c>
      <c r="C66" s="20" t="s">
        <v>140</v>
      </c>
      <c r="D66" s="20" t="s">
        <v>18</v>
      </c>
      <c r="E66" s="20" t="s">
        <v>66</v>
      </c>
      <c r="F66" s="21" t="s">
        <v>19</v>
      </c>
      <c r="G66" s="22">
        <f>4300</f>
        <v>4300</v>
      </c>
    </row>
    <row r="67" spans="1:7" ht="26.4" x14ac:dyDescent="0.3">
      <c r="A67" s="19" t="s">
        <v>182</v>
      </c>
      <c r="B67" s="20" t="s">
        <v>183</v>
      </c>
      <c r="C67" s="20" t="s">
        <v>134</v>
      </c>
      <c r="D67" s="20" t="s">
        <v>18</v>
      </c>
      <c r="E67" s="20" t="s">
        <v>66</v>
      </c>
      <c r="F67" s="21" t="s">
        <v>19</v>
      </c>
      <c r="G67" s="22">
        <f>14510</f>
        <v>14510</v>
      </c>
    </row>
    <row r="68" spans="1:7" ht="26.4" x14ac:dyDescent="0.3">
      <c r="A68" s="19" t="s">
        <v>184</v>
      </c>
      <c r="B68" s="20" t="s">
        <v>185</v>
      </c>
      <c r="C68" s="20" t="s">
        <v>85</v>
      </c>
      <c r="D68" s="20" t="s">
        <v>18</v>
      </c>
      <c r="E68" s="20" t="s">
        <v>66</v>
      </c>
      <c r="F68" s="21" t="s">
        <v>19</v>
      </c>
      <c r="G68" s="22">
        <v>3300</v>
      </c>
    </row>
    <row r="69" spans="1:7" ht="26.4" x14ac:dyDescent="0.3">
      <c r="A69" s="19" t="s">
        <v>186</v>
      </c>
      <c r="B69" s="20" t="s">
        <v>187</v>
      </c>
      <c r="C69" s="20" t="s">
        <v>188</v>
      </c>
      <c r="D69" s="20" t="s">
        <v>18</v>
      </c>
      <c r="E69" s="20" t="s">
        <v>66</v>
      </c>
      <c r="F69" s="21" t="s">
        <v>19</v>
      </c>
      <c r="G69" s="22">
        <f>3300*4+701.14*2+123.2</f>
        <v>14725.480000000001</v>
      </c>
    </row>
    <row r="70" spans="1:7" x14ac:dyDescent="0.3">
      <c r="A70" s="19" t="s">
        <v>189</v>
      </c>
      <c r="B70" s="20" t="s">
        <v>118</v>
      </c>
      <c r="C70" s="20" t="s">
        <v>190</v>
      </c>
      <c r="D70" s="20" t="s">
        <v>154</v>
      </c>
      <c r="E70" s="20" t="s">
        <v>66</v>
      </c>
      <c r="F70" s="21" t="s">
        <v>19</v>
      </c>
      <c r="G70" s="22">
        <f>582</f>
        <v>582</v>
      </c>
    </row>
    <row r="71" spans="1:7" x14ac:dyDescent="0.3">
      <c r="A71" s="19" t="s">
        <v>191</v>
      </c>
      <c r="B71" s="20" t="s">
        <v>192</v>
      </c>
      <c r="C71" s="20" t="s">
        <v>143</v>
      </c>
      <c r="D71" s="20" t="s">
        <v>12</v>
      </c>
      <c r="E71" s="20" t="s">
        <v>66</v>
      </c>
      <c r="F71" s="21" t="s">
        <v>19</v>
      </c>
      <c r="G71" s="22">
        <f>73356.98</f>
        <v>73356.98</v>
      </c>
    </row>
    <row r="72" spans="1:7" ht="26.4" x14ac:dyDescent="0.3">
      <c r="A72" s="19" t="s">
        <v>193</v>
      </c>
      <c r="B72" s="20" t="s">
        <v>194</v>
      </c>
      <c r="C72" s="20" t="s">
        <v>85</v>
      </c>
      <c r="D72" s="20" t="s">
        <v>18</v>
      </c>
      <c r="E72" s="20" t="s">
        <v>66</v>
      </c>
      <c r="F72" s="21" t="s">
        <v>19</v>
      </c>
      <c r="G72" s="22">
        <f>1272.2</f>
        <v>1272.2</v>
      </c>
    </row>
    <row r="73" spans="1:7" ht="26.4" x14ac:dyDescent="0.3">
      <c r="A73" s="19" t="s">
        <v>195</v>
      </c>
      <c r="B73" s="20" t="s">
        <v>196</v>
      </c>
      <c r="C73" s="20" t="s">
        <v>85</v>
      </c>
      <c r="D73" s="20" t="s">
        <v>18</v>
      </c>
      <c r="E73" s="20" t="s">
        <v>66</v>
      </c>
      <c r="F73" s="21" t="s">
        <v>19</v>
      </c>
      <c r="G73" s="22">
        <f>4800</f>
        <v>4800</v>
      </c>
    </row>
    <row r="74" spans="1:7" ht="26.4" x14ac:dyDescent="0.3">
      <c r="A74" s="19" t="s">
        <v>197</v>
      </c>
      <c r="B74" s="20" t="s">
        <v>198</v>
      </c>
      <c r="C74" s="20" t="s">
        <v>85</v>
      </c>
      <c r="D74" s="20" t="s">
        <v>18</v>
      </c>
      <c r="E74" s="20" t="s">
        <v>66</v>
      </c>
      <c r="F74" s="21" t="s">
        <v>19</v>
      </c>
      <c r="G74" s="22">
        <f>4800+5850</f>
        <v>10650</v>
      </c>
    </row>
    <row r="75" spans="1:7" ht="26.4" x14ac:dyDescent="0.3">
      <c r="A75" s="19" t="s">
        <v>199</v>
      </c>
      <c r="B75" s="20" t="s">
        <v>200</v>
      </c>
      <c r="C75" s="20" t="s">
        <v>201</v>
      </c>
      <c r="D75" s="20" t="s">
        <v>18</v>
      </c>
      <c r="E75" s="20" t="s">
        <v>66</v>
      </c>
      <c r="F75" s="21" t="s">
        <v>19</v>
      </c>
      <c r="G75" s="22">
        <f>106.95</f>
        <v>106.95</v>
      </c>
    </row>
    <row r="76" spans="1:7" ht="26.4" x14ac:dyDescent="0.3">
      <c r="A76" s="19" t="s">
        <v>202</v>
      </c>
      <c r="B76" s="20" t="s">
        <v>203</v>
      </c>
      <c r="C76" s="20" t="s">
        <v>29</v>
      </c>
      <c r="D76" s="20" t="s">
        <v>18</v>
      </c>
      <c r="E76" s="20" t="s">
        <v>13</v>
      </c>
      <c r="F76" s="21" t="s">
        <v>19</v>
      </c>
      <c r="G76" s="22">
        <f>1557.76</f>
        <v>1557.76</v>
      </c>
    </row>
    <row r="77" spans="1:7" ht="26.4" x14ac:dyDescent="0.3">
      <c r="A77" s="19" t="s">
        <v>204</v>
      </c>
      <c r="B77" s="20" t="s">
        <v>205</v>
      </c>
      <c r="C77" s="20" t="s">
        <v>206</v>
      </c>
      <c r="D77" s="20" t="s">
        <v>18</v>
      </c>
      <c r="E77" s="20" t="s">
        <v>66</v>
      </c>
      <c r="F77" s="21" t="s">
        <v>19</v>
      </c>
      <c r="G77" s="22">
        <f>500</f>
        <v>500</v>
      </c>
    </row>
    <row r="78" spans="1:7" ht="26.4" x14ac:dyDescent="0.3">
      <c r="A78" s="19" t="s">
        <v>207</v>
      </c>
      <c r="B78" s="20" t="s">
        <v>208</v>
      </c>
      <c r="C78" s="20" t="s">
        <v>209</v>
      </c>
      <c r="D78" s="20" t="s">
        <v>18</v>
      </c>
      <c r="E78" s="20" t="s">
        <v>66</v>
      </c>
      <c r="F78" s="21" t="s">
        <v>19</v>
      </c>
      <c r="G78" s="22">
        <f>5400</f>
        <v>5400</v>
      </c>
    </row>
    <row r="79" spans="1:7" ht="26.4" x14ac:dyDescent="0.3">
      <c r="A79" s="19" t="s">
        <v>81</v>
      </c>
      <c r="B79" s="20" t="s">
        <v>82</v>
      </c>
      <c r="C79" s="20" t="s">
        <v>69</v>
      </c>
      <c r="D79" s="20" t="s">
        <v>18</v>
      </c>
      <c r="E79" s="20" t="s">
        <v>66</v>
      </c>
      <c r="F79" s="21" t="s">
        <v>19</v>
      </c>
      <c r="G79" s="22">
        <f>1510</f>
        <v>1510</v>
      </c>
    </row>
    <row r="80" spans="1:7" ht="26.4" x14ac:dyDescent="0.3">
      <c r="A80" s="19" t="s">
        <v>210</v>
      </c>
      <c r="B80" s="20" t="s">
        <v>211</v>
      </c>
      <c r="C80" s="20" t="s">
        <v>69</v>
      </c>
      <c r="D80" s="20" t="s">
        <v>18</v>
      </c>
      <c r="E80" s="20" t="s">
        <v>66</v>
      </c>
      <c r="F80" s="21" t="s">
        <v>19</v>
      </c>
      <c r="G80" s="22">
        <f>1500</f>
        <v>1500</v>
      </c>
    </row>
    <row r="81" spans="1:7" ht="26.4" x14ac:dyDescent="0.3">
      <c r="A81" s="19" t="s">
        <v>212</v>
      </c>
      <c r="B81" s="20" t="s">
        <v>213</v>
      </c>
      <c r="C81" s="20" t="s">
        <v>91</v>
      </c>
      <c r="D81" s="20" t="s">
        <v>18</v>
      </c>
      <c r="E81" s="20" t="s">
        <v>66</v>
      </c>
      <c r="F81" s="21" t="s">
        <v>19</v>
      </c>
      <c r="G81" s="22">
        <f>7265</f>
        <v>7265</v>
      </c>
    </row>
    <row r="82" spans="1:7" ht="26.4" x14ac:dyDescent="0.3">
      <c r="A82" s="19" t="s">
        <v>214</v>
      </c>
      <c r="B82" s="20" t="s">
        <v>215</v>
      </c>
      <c r="C82" s="20" t="s">
        <v>91</v>
      </c>
      <c r="D82" s="20" t="s">
        <v>18</v>
      </c>
      <c r="E82" s="20" t="s">
        <v>66</v>
      </c>
      <c r="F82" s="21" t="s">
        <v>19</v>
      </c>
      <c r="G82" s="22">
        <f>10400</f>
        <v>10400</v>
      </c>
    </row>
    <row r="83" spans="1:7" ht="26.4" x14ac:dyDescent="0.3">
      <c r="A83" s="19" t="s">
        <v>216</v>
      </c>
      <c r="B83" s="20" t="s">
        <v>217</v>
      </c>
      <c r="C83" s="20" t="s">
        <v>85</v>
      </c>
      <c r="D83" s="20" t="s">
        <v>18</v>
      </c>
      <c r="E83" s="20" t="s">
        <v>66</v>
      </c>
      <c r="F83" s="21" t="s">
        <v>19</v>
      </c>
      <c r="G83" s="22">
        <f>1310</f>
        <v>1310</v>
      </c>
    </row>
    <row r="84" spans="1:7" x14ac:dyDescent="0.3">
      <c r="A84" s="19" t="s">
        <v>218</v>
      </c>
      <c r="B84" s="20" t="s">
        <v>219</v>
      </c>
      <c r="C84" s="20" t="s">
        <v>220</v>
      </c>
      <c r="D84" s="20" t="s">
        <v>12</v>
      </c>
      <c r="E84" s="20" t="s">
        <v>66</v>
      </c>
      <c r="F84" s="21" t="s">
        <v>19</v>
      </c>
      <c r="G84" s="22">
        <f>23886</f>
        <v>23886</v>
      </c>
    </row>
    <row r="85" spans="1:7" ht="26.4" x14ac:dyDescent="0.3">
      <c r="A85" s="19" t="s">
        <v>221</v>
      </c>
      <c r="B85" s="20" t="s">
        <v>222</v>
      </c>
      <c r="C85" s="20" t="s">
        <v>85</v>
      </c>
      <c r="D85" s="20" t="s">
        <v>18</v>
      </c>
      <c r="E85" s="20" t="s">
        <v>66</v>
      </c>
      <c r="F85" s="21" t="s">
        <v>19</v>
      </c>
      <c r="G85" s="22">
        <f>386</f>
        <v>386</v>
      </c>
    </row>
    <row r="86" spans="1:7" ht="26.4" x14ac:dyDescent="0.3">
      <c r="A86" s="19" t="s">
        <v>223</v>
      </c>
      <c r="B86" s="20" t="s">
        <v>224</v>
      </c>
      <c r="C86" s="20" t="s">
        <v>225</v>
      </c>
      <c r="D86" s="20" t="s">
        <v>18</v>
      </c>
      <c r="E86" s="20" t="s">
        <v>66</v>
      </c>
      <c r="F86" s="21" t="s">
        <v>19</v>
      </c>
      <c r="G86" s="22">
        <f>4400+7126.6</f>
        <v>11526.6</v>
      </c>
    </row>
    <row r="87" spans="1:7" ht="26.4" x14ac:dyDescent="0.3">
      <c r="A87" s="19" t="s">
        <v>226</v>
      </c>
      <c r="B87" s="20" t="s">
        <v>227</v>
      </c>
      <c r="C87" s="20" t="s">
        <v>228</v>
      </c>
      <c r="D87" s="20" t="s">
        <v>18</v>
      </c>
      <c r="E87" s="20" t="s">
        <v>66</v>
      </c>
      <c r="F87" s="21" t="s">
        <v>19</v>
      </c>
      <c r="G87" s="22">
        <f>2730</f>
        <v>2730</v>
      </c>
    </row>
    <row r="88" spans="1:7" ht="26.4" x14ac:dyDescent="0.3">
      <c r="A88" s="19" t="s">
        <v>229</v>
      </c>
      <c r="B88" s="20" t="s">
        <v>230</v>
      </c>
      <c r="C88" s="20" t="s">
        <v>231</v>
      </c>
      <c r="D88" s="20" t="s">
        <v>18</v>
      </c>
      <c r="E88" s="20" t="s">
        <v>66</v>
      </c>
      <c r="F88" s="21" t="s">
        <v>19</v>
      </c>
      <c r="G88" s="22">
        <f>200</f>
        <v>200</v>
      </c>
    </row>
    <row r="89" spans="1:7" ht="26.4" x14ac:dyDescent="0.3">
      <c r="A89" s="19" t="s">
        <v>232</v>
      </c>
      <c r="B89" s="20" t="s">
        <v>233</v>
      </c>
      <c r="C89" s="20" t="s">
        <v>234</v>
      </c>
      <c r="D89" s="20" t="s">
        <v>18</v>
      </c>
      <c r="E89" s="20" t="s">
        <v>66</v>
      </c>
      <c r="F89" s="21" t="s">
        <v>19</v>
      </c>
      <c r="G89" s="22">
        <f>1495</f>
        <v>1495</v>
      </c>
    </row>
    <row r="90" spans="1:7" ht="26.4" x14ac:dyDescent="0.3">
      <c r="A90" s="19" t="s">
        <v>235</v>
      </c>
      <c r="B90" s="20" t="s">
        <v>236</v>
      </c>
      <c r="C90" s="20" t="s">
        <v>237</v>
      </c>
      <c r="D90" s="20" t="s">
        <v>18</v>
      </c>
      <c r="E90" s="20" t="s">
        <v>66</v>
      </c>
      <c r="F90" s="21" t="s">
        <v>19</v>
      </c>
      <c r="G90" s="22">
        <f>243</f>
        <v>243</v>
      </c>
    </row>
    <row r="91" spans="1:7" ht="26.4" x14ac:dyDescent="0.3">
      <c r="A91" s="19" t="s">
        <v>238</v>
      </c>
      <c r="B91" s="20" t="s">
        <v>239</v>
      </c>
      <c r="C91" s="20" t="s">
        <v>150</v>
      </c>
      <c r="D91" s="20" t="s">
        <v>18</v>
      </c>
      <c r="E91" s="20" t="s">
        <v>66</v>
      </c>
      <c r="F91" s="21" t="s">
        <v>19</v>
      </c>
      <c r="G91" s="22">
        <f>250</f>
        <v>250</v>
      </c>
    </row>
    <row r="92" spans="1:7" x14ac:dyDescent="0.3">
      <c r="A92" s="23"/>
      <c r="B92" s="24"/>
      <c r="C92" s="24"/>
      <c r="D92" s="24"/>
      <c r="E92" s="24"/>
      <c r="F92" s="25"/>
      <c r="G92" s="26"/>
    </row>
    <row r="94" spans="1:7" x14ac:dyDescent="0.3">
      <c r="A94" s="27" t="s">
        <v>240</v>
      </c>
      <c r="B94" s="2"/>
      <c r="C94" s="2"/>
      <c r="D94" s="2"/>
      <c r="E94" s="2"/>
      <c r="F94" s="2"/>
      <c r="G94" s="2"/>
    </row>
    <row r="96" spans="1:7" x14ac:dyDescent="0.3">
      <c r="A96" s="28" t="s">
        <v>2</v>
      </c>
      <c r="B96" s="28" t="s">
        <v>241</v>
      </c>
      <c r="C96" s="28" t="s">
        <v>242</v>
      </c>
      <c r="D96" s="28" t="s">
        <v>243</v>
      </c>
      <c r="E96" s="28" t="s">
        <v>244</v>
      </c>
      <c r="F96" s="28" t="s">
        <v>245</v>
      </c>
      <c r="G96" s="28" t="s">
        <v>246</v>
      </c>
    </row>
    <row r="97" spans="1:7" ht="43.2" x14ac:dyDescent="0.3">
      <c r="A97" s="10" t="s">
        <v>247</v>
      </c>
      <c r="B97" s="29" t="s">
        <v>248</v>
      </c>
      <c r="C97" s="29" t="s">
        <v>341</v>
      </c>
      <c r="D97" s="29" t="s">
        <v>250</v>
      </c>
      <c r="E97" s="29" t="s">
        <v>13</v>
      </c>
      <c r="F97" s="29" t="s">
        <v>19</v>
      </c>
      <c r="G97" s="30">
        <f>4858.51+625*11+5145.16*11+2528.32+6725.59</f>
        <v>77584.179999999993</v>
      </c>
    </row>
    <row r="98" spans="1:7" x14ac:dyDescent="0.3">
      <c r="A98" s="10" t="s">
        <v>251</v>
      </c>
      <c r="B98" s="29" t="s">
        <v>252</v>
      </c>
      <c r="C98" s="29" t="s">
        <v>341</v>
      </c>
      <c r="D98" s="29" t="s">
        <v>250</v>
      </c>
      <c r="E98" s="29" t="s">
        <v>13</v>
      </c>
      <c r="F98" s="29" t="s">
        <v>19</v>
      </c>
      <c r="G98" s="30">
        <f>3969.32+4207.66*10+2031.52+5409.06</f>
        <v>53486.499999999993</v>
      </c>
    </row>
    <row r="99" spans="1:7" ht="28.8" x14ac:dyDescent="0.3">
      <c r="A99" s="10" t="s">
        <v>253</v>
      </c>
      <c r="B99" s="29" t="s">
        <v>254</v>
      </c>
      <c r="C99" s="29" t="s">
        <v>341</v>
      </c>
      <c r="D99" s="29" t="s">
        <v>250</v>
      </c>
      <c r="E99" s="29" t="s">
        <v>13</v>
      </c>
      <c r="F99" s="29" t="s">
        <v>19</v>
      </c>
      <c r="G99" s="30">
        <f>2122.25+625*11+380*11+2075.42*9+889.48+2723.63+2165.43</f>
        <v>37634.57</v>
      </c>
    </row>
    <row r="100" spans="1:7" x14ac:dyDescent="0.3">
      <c r="A100" s="10" t="s">
        <v>255</v>
      </c>
      <c r="B100" s="29" t="s">
        <v>252</v>
      </c>
      <c r="C100" s="29" t="s">
        <v>341</v>
      </c>
      <c r="D100" s="29" t="s">
        <v>250</v>
      </c>
      <c r="E100" s="29" t="s">
        <v>13</v>
      </c>
      <c r="F100" s="29" t="s">
        <v>19</v>
      </c>
      <c r="G100" s="30">
        <f>4283.47+625*11+4544.57*9+2200.39+5909.6+3910.02</f>
        <v>64079.609999999993</v>
      </c>
    </row>
    <row r="101" spans="1:7" x14ac:dyDescent="0.3">
      <c r="A101" s="10" t="s">
        <v>256</v>
      </c>
      <c r="B101" s="29" t="s">
        <v>257</v>
      </c>
      <c r="C101" s="29" t="s">
        <v>341</v>
      </c>
      <c r="D101" s="29" t="s">
        <v>250</v>
      </c>
      <c r="E101" s="29" t="s">
        <v>13</v>
      </c>
      <c r="F101" s="29" t="s">
        <v>19</v>
      </c>
      <c r="G101" s="30">
        <f>4040.9+625*9+4064.79*2+4107.45*9</f>
        <v>54762.53</v>
      </c>
    </row>
    <row r="102" spans="1:7" x14ac:dyDescent="0.3">
      <c r="A102" s="10" t="s">
        <v>258</v>
      </c>
      <c r="B102" s="29" t="s">
        <v>259</v>
      </c>
      <c r="C102" s="29" t="s">
        <v>341</v>
      </c>
      <c r="D102" s="29" t="s">
        <v>250</v>
      </c>
      <c r="E102" s="29" t="s">
        <v>13</v>
      </c>
      <c r="F102" s="29" t="s">
        <v>19</v>
      </c>
      <c r="G102" s="30">
        <f>4040.9+625*11+4064.79*10+1960.19+5208.85</f>
        <v>58732.840000000004</v>
      </c>
    </row>
    <row r="103" spans="1:7" x14ac:dyDescent="0.3">
      <c r="A103" s="10" t="s">
        <v>260</v>
      </c>
      <c r="B103" s="29" t="s">
        <v>261</v>
      </c>
      <c r="C103" s="29" t="s">
        <v>341</v>
      </c>
      <c r="D103" s="29" t="s">
        <v>250</v>
      </c>
      <c r="E103" s="29" t="s">
        <v>13</v>
      </c>
      <c r="F103" s="29" t="s">
        <v>19</v>
      </c>
      <c r="G103" s="30">
        <f>6659.3+625*11+6620.37*10+3276.57+8692.61</f>
        <v>91707.180000000008</v>
      </c>
    </row>
    <row r="104" spans="1:7" x14ac:dyDescent="0.3">
      <c r="A104" s="10" t="s">
        <v>262</v>
      </c>
      <c r="B104" s="29" t="s">
        <v>263</v>
      </c>
      <c r="C104" s="29" t="s">
        <v>341</v>
      </c>
      <c r="D104" s="29" t="s">
        <v>250</v>
      </c>
      <c r="E104" s="29" t="s">
        <v>13</v>
      </c>
      <c r="F104" s="29" t="s">
        <v>19</v>
      </c>
      <c r="G104" s="30">
        <f>4126.22+625*11+4150.11*10+5313.12</f>
        <v>57815.44</v>
      </c>
    </row>
    <row r="105" spans="1:7" x14ac:dyDescent="0.3">
      <c r="A105" s="10" t="s">
        <v>264</v>
      </c>
      <c r="B105" s="29" t="s">
        <v>252</v>
      </c>
      <c r="C105" s="29" t="s">
        <v>341</v>
      </c>
      <c r="D105" s="29" t="s">
        <v>250</v>
      </c>
      <c r="E105" s="29" t="s">
        <v>13</v>
      </c>
      <c r="F105" s="29" t="s">
        <v>19</v>
      </c>
      <c r="G105" s="30">
        <f>4305.96+4197.31*10+1960.19+5394.56</f>
        <v>53633.810000000005</v>
      </c>
    </row>
    <row r="106" spans="1:7" x14ac:dyDescent="0.3">
      <c r="A106" s="10" t="s">
        <v>265</v>
      </c>
      <c r="B106" s="29" t="s">
        <v>266</v>
      </c>
      <c r="C106" s="29" t="s">
        <v>341</v>
      </c>
      <c r="D106" s="29" t="s">
        <v>250</v>
      </c>
      <c r="E106" s="29" t="s">
        <v>13</v>
      </c>
      <c r="F106" s="29" t="s">
        <v>19</v>
      </c>
      <c r="G106" s="30">
        <f>4439.93+625*11+4472.21*4+4473.25*6+2499.29+5208.85</f>
        <v>63751.41</v>
      </c>
    </row>
    <row r="107" spans="1:7" x14ac:dyDescent="0.3">
      <c r="A107" s="10" t="s">
        <v>267</v>
      </c>
      <c r="B107" s="29" t="s">
        <v>252</v>
      </c>
      <c r="C107" s="29" t="s">
        <v>341</v>
      </c>
      <c r="D107" s="29" t="s">
        <v>250</v>
      </c>
      <c r="E107" s="29" t="s">
        <v>13</v>
      </c>
      <c r="F107" s="29" t="s">
        <v>19</v>
      </c>
      <c r="G107" s="30">
        <f>8310.57+625*11+8287.17*9+8957.74+4072.19+10915</f>
        <v>113715.03000000001</v>
      </c>
    </row>
    <row r="108" spans="1:7" x14ac:dyDescent="0.3">
      <c r="A108" s="10" t="s">
        <v>268</v>
      </c>
      <c r="B108" s="29" t="s">
        <v>269</v>
      </c>
      <c r="C108" s="29" t="s">
        <v>341</v>
      </c>
      <c r="D108" s="29" t="s">
        <v>250</v>
      </c>
      <c r="E108" s="29" t="s">
        <v>13</v>
      </c>
      <c r="F108" s="29" t="s">
        <v>19</v>
      </c>
      <c r="G108" s="30">
        <f>9047.48+625*11+8957.74*10+4374.32+11809.1</f>
        <v>121683.29999999999</v>
      </c>
    </row>
    <row r="109" spans="1:7" x14ac:dyDescent="0.3">
      <c r="A109" s="7" t="s">
        <v>270</v>
      </c>
      <c r="B109" s="29" t="s">
        <v>259</v>
      </c>
      <c r="C109" s="29" t="s">
        <v>341</v>
      </c>
      <c r="D109" s="29" t="s">
        <v>250</v>
      </c>
      <c r="E109" s="29" t="s">
        <v>13</v>
      </c>
      <c r="F109" s="29" t="s">
        <v>19</v>
      </c>
      <c r="G109" s="30">
        <f>4040.9+625*11+4064.79*10+1960.19+5208.85</f>
        <v>58732.840000000004</v>
      </c>
    </row>
    <row r="110" spans="1:7" ht="28.8" x14ac:dyDescent="0.3">
      <c r="A110" s="10" t="s">
        <v>271</v>
      </c>
      <c r="B110" s="29" t="s">
        <v>272</v>
      </c>
      <c r="C110" s="32" t="s">
        <v>342</v>
      </c>
      <c r="D110" s="32" t="s">
        <v>273</v>
      </c>
      <c r="E110" s="32" t="s">
        <v>13</v>
      </c>
      <c r="F110" s="32" t="s">
        <v>19</v>
      </c>
      <c r="G110" s="33">
        <f>110.99+625*10+541.8*2+205.7*2+3863.66+3344.05*8+516*4+213.02*8+567.6+593.4*2+3602.05+1665.53+4568.8</f>
        <v>53830.990000000013</v>
      </c>
    </row>
    <row r="111" spans="1:7" x14ac:dyDescent="0.3">
      <c r="A111" s="10" t="s">
        <v>274</v>
      </c>
      <c r="B111" s="29" t="s">
        <v>275</v>
      </c>
      <c r="C111" s="32" t="s">
        <v>342</v>
      </c>
      <c r="D111" s="32" t="s">
        <v>273</v>
      </c>
      <c r="E111" s="32" t="s">
        <v>13</v>
      </c>
      <c r="F111" s="32" t="s">
        <v>19</v>
      </c>
      <c r="G111" s="33">
        <f>5419.49+625*12+205.7*2+8016.16*11+213.02*9+10553.66</f>
        <v>113979.48999999999</v>
      </c>
    </row>
    <row r="112" spans="1:7" ht="28.8" x14ac:dyDescent="0.3">
      <c r="A112" s="10" t="s">
        <v>276</v>
      </c>
      <c r="B112" s="29" t="s">
        <v>277</v>
      </c>
      <c r="C112" s="32" t="s">
        <v>342</v>
      </c>
      <c r="D112" s="32" t="s">
        <v>273</v>
      </c>
      <c r="E112" s="32" t="s">
        <v>13</v>
      </c>
      <c r="F112" s="32" t="s">
        <v>19</v>
      </c>
      <c r="G112" s="33">
        <f>2517.27+625*10+541.8*3+205.7+3140.8*9+516+213.02*9+567.6+516+593.4*2+516+3380.8+516</f>
        <v>47981.950000000004</v>
      </c>
    </row>
    <row r="113" spans="1:7" x14ac:dyDescent="0.3">
      <c r="A113" s="10" t="s">
        <v>278</v>
      </c>
      <c r="B113" s="29" t="s">
        <v>279</v>
      </c>
      <c r="C113" s="29" t="s">
        <v>343</v>
      </c>
      <c r="D113" s="29" t="s">
        <v>273</v>
      </c>
      <c r="E113" s="29" t="s">
        <v>13</v>
      </c>
      <c r="F113" s="29" t="s">
        <v>19</v>
      </c>
      <c r="G113" s="33">
        <f>11278.66*11+9103.66</f>
        <v>133168.91999999998</v>
      </c>
    </row>
    <row r="114" spans="1:7" x14ac:dyDescent="0.3">
      <c r="A114" s="10" t="s">
        <v>280</v>
      </c>
      <c r="B114" s="29" t="s">
        <v>281</v>
      </c>
      <c r="C114" s="29" t="s">
        <v>343</v>
      </c>
      <c r="D114" s="29" t="s">
        <v>273</v>
      </c>
      <c r="E114" s="29" t="s">
        <v>13</v>
      </c>
      <c r="F114" s="29" t="s">
        <v>19</v>
      </c>
      <c r="G114" s="33">
        <f>10553.66*11+7653.66</f>
        <v>123743.92</v>
      </c>
    </row>
    <row r="115" spans="1:7" x14ac:dyDescent="0.3">
      <c r="A115" s="10" t="s">
        <v>282</v>
      </c>
      <c r="B115" s="29" t="s">
        <v>283</v>
      </c>
      <c r="C115" s="29" t="s">
        <v>344</v>
      </c>
      <c r="D115" s="29" t="s">
        <v>273</v>
      </c>
      <c r="E115" s="29" t="s">
        <v>250</v>
      </c>
      <c r="F115" s="29" t="s">
        <v>19</v>
      </c>
      <c r="G115" s="30">
        <f>4084.88*11</f>
        <v>44933.68</v>
      </c>
    </row>
    <row r="116" spans="1:7" x14ac:dyDescent="0.3">
      <c r="D116" s="31"/>
    </row>
    <row r="117" spans="1:7" x14ac:dyDescent="0.3">
      <c r="A117" s="34" t="s">
        <v>284</v>
      </c>
      <c r="B117" s="34"/>
      <c r="C117" s="34"/>
      <c r="D117" s="34"/>
      <c r="E117" s="34"/>
      <c r="F117" s="34"/>
      <c r="G117" s="34"/>
    </row>
    <row r="118" spans="1:7" x14ac:dyDescent="0.3">
      <c r="A118" s="28" t="s">
        <v>2</v>
      </c>
      <c r="B118" s="28" t="s">
        <v>285</v>
      </c>
      <c r="C118" s="28" t="s">
        <v>242</v>
      </c>
      <c r="D118" s="28" t="s">
        <v>243</v>
      </c>
      <c r="E118" s="28" t="s">
        <v>244</v>
      </c>
      <c r="F118" s="28" t="s">
        <v>245</v>
      </c>
      <c r="G118" s="28" t="s">
        <v>286</v>
      </c>
    </row>
    <row r="119" spans="1:7" x14ac:dyDescent="0.3">
      <c r="A119" s="9" t="s">
        <v>287</v>
      </c>
      <c r="B119" s="35" t="s">
        <v>288</v>
      </c>
      <c r="C119" s="35" t="s">
        <v>289</v>
      </c>
      <c r="D119" s="35" t="s">
        <v>250</v>
      </c>
      <c r="E119" s="35" t="s">
        <v>66</v>
      </c>
      <c r="F119" s="36" t="s">
        <v>19</v>
      </c>
      <c r="G119" s="37">
        <f>900</f>
        <v>900</v>
      </c>
    </row>
    <row r="120" spans="1:7" x14ac:dyDescent="0.3">
      <c r="A120" s="9" t="s">
        <v>290</v>
      </c>
      <c r="B120" s="35" t="s">
        <v>291</v>
      </c>
      <c r="C120" s="35" t="s">
        <v>292</v>
      </c>
      <c r="D120" s="35" t="s">
        <v>273</v>
      </c>
      <c r="E120" s="35" t="s">
        <v>66</v>
      </c>
      <c r="F120" s="36" t="s">
        <v>19</v>
      </c>
      <c r="G120" s="37">
        <f>1440*2</f>
        <v>2880</v>
      </c>
    </row>
    <row r="121" spans="1:7" x14ac:dyDescent="0.3">
      <c r="A121" s="9" t="s">
        <v>293</v>
      </c>
      <c r="B121" s="35" t="s">
        <v>291</v>
      </c>
      <c r="C121" s="35" t="s">
        <v>292</v>
      </c>
      <c r="D121" s="35" t="s">
        <v>273</v>
      </c>
      <c r="E121" s="35" t="s">
        <v>66</v>
      </c>
      <c r="F121" s="36" t="s">
        <v>19</v>
      </c>
      <c r="G121" s="37">
        <f>1440*2</f>
        <v>2880</v>
      </c>
    </row>
    <row r="122" spans="1:7" x14ac:dyDescent="0.3">
      <c r="A122" s="9" t="s">
        <v>294</v>
      </c>
      <c r="B122" s="35" t="s">
        <v>288</v>
      </c>
      <c r="C122" s="35" t="s">
        <v>289</v>
      </c>
      <c r="D122" s="35" t="s">
        <v>250</v>
      </c>
      <c r="E122" s="35" t="s">
        <v>66</v>
      </c>
      <c r="F122" s="36" t="s">
        <v>19</v>
      </c>
      <c r="G122" s="37">
        <f>1440*2</f>
        <v>2880</v>
      </c>
    </row>
    <row r="123" spans="1:7" x14ac:dyDescent="0.3">
      <c r="A123" s="9" t="s">
        <v>295</v>
      </c>
      <c r="B123" s="35" t="s">
        <v>288</v>
      </c>
      <c r="C123" s="35" t="s">
        <v>289</v>
      </c>
      <c r="D123" s="35" t="s">
        <v>250</v>
      </c>
      <c r="E123" s="35" t="s">
        <v>66</v>
      </c>
      <c r="F123" s="36" t="s">
        <v>19</v>
      </c>
      <c r="G123" s="37">
        <f>900</f>
        <v>900</v>
      </c>
    </row>
    <row r="124" spans="1:7" x14ac:dyDescent="0.3">
      <c r="A124" s="9" t="s">
        <v>296</v>
      </c>
      <c r="B124" s="35" t="s">
        <v>288</v>
      </c>
      <c r="C124" s="35" t="s">
        <v>289</v>
      </c>
      <c r="D124" s="35" t="s">
        <v>250</v>
      </c>
      <c r="E124" s="35" t="s">
        <v>66</v>
      </c>
      <c r="F124" s="36" t="s">
        <v>19</v>
      </c>
      <c r="G124" s="37">
        <f>900*2</f>
        <v>1800</v>
      </c>
    </row>
    <row r="125" spans="1:7" x14ac:dyDescent="0.3">
      <c r="A125" s="9" t="s">
        <v>297</v>
      </c>
      <c r="B125" s="35" t="s">
        <v>288</v>
      </c>
      <c r="C125" s="35" t="s">
        <v>289</v>
      </c>
      <c r="D125" s="35" t="s">
        <v>250</v>
      </c>
      <c r="E125" s="35" t="s">
        <v>66</v>
      </c>
      <c r="F125" s="36" t="s">
        <v>19</v>
      </c>
      <c r="G125" s="37">
        <f>900*2</f>
        <v>1800</v>
      </c>
    </row>
    <row r="126" spans="1:7" x14ac:dyDescent="0.3">
      <c r="A126" s="9" t="s">
        <v>298</v>
      </c>
      <c r="B126" s="35" t="s">
        <v>288</v>
      </c>
      <c r="C126" s="35" t="s">
        <v>289</v>
      </c>
      <c r="D126" s="35" t="s">
        <v>250</v>
      </c>
      <c r="E126" s="35" t="s">
        <v>66</v>
      </c>
      <c r="F126" s="36" t="s">
        <v>19</v>
      </c>
      <c r="G126" s="37">
        <f>900*2</f>
        <v>1800</v>
      </c>
    </row>
    <row r="127" spans="1:7" x14ac:dyDescent="0.3">
      <c r="A127" s="9" t="s">
        <v>299</v>
      </c>
      <c r="B127" s="35" t="s">
        <v>288</v>
      </c>
      <c r="C127" s="35" t="s">
        <v>289</v>
      </c>
      <c r="D127" s="35" t="s">
        <v>250</v>
      </c>
      <c r="E127" s="35" t="s">
        <v>66</v>
      </c>
      <c r="F127" s="36" t="s">
        <v>19</v>
      </c>
      <c r="G127" s="37">
        <f>900*2</f>
        <v>1800</v>
      </c>
    </row>
    <row r="128" spans="1:7" x14ac:dyDescent="0.3">
      <c r="A128" s="9" t="s">
        <v>300</v>
      </c>
      <c r="B128" s="35" t="s">
        <v>288</v>
      </c>
      <c r="C128" s="35" t="s">
        <v>289</v>
      </c>
      <c r="D128" s="35" t="s">
        <v>250</v>
      </c>
      <c r="E128" s="35" t="s">
        <v>66</v>
      </c>
      <c r="F128" s="36" t="s">
        <v>19</v>
      </c>
      <c r="G128" s="37">
        <f>900</f>
        <v>900</v>
      </c>
    </row>
    <row r="129" spans="1:7" x14ac:dyDescent="0.3">
      <c r="A129" s="9" t="s">
        <v>301</v>
      </c>
      <c r="B129" s="35" t="s">
        <v>288</v>
      </c>
      <c r="C129" s="35" t="s">
        <v>289</v>
      </c>
      <c r="D129" s="35" t="s">
        <v>250</v>
      </c>
      <c r="E129" s="35" t="s">
        <v>66</v>
      </c>
      <c r="F129" s="36" t="s">
        <v>19</v>
      </c>
      <c r="G129" s="37">
        <f>900*2</f>
        <v>1800</v>
      </c>
    </row>
    <row r="130" spans="1:7" x14ac:dyDescent="0.3">
      <c r="A130" s="9" t="s">
        <v>302</v>
      </c>
      <c r="B130" s="35" t="s">
        <v>288</v>
      </c>
      <c r="C130" s="35" t="s">
        <v>289</v>
      </c>
      <c r="D130" s="35" t="s">
        <v>250</v>
      </c>
      <c r="E130" s="35" t="s">
        <v>66</v>
      </c>
      <c r="F130" s="36" t="s">
        <v>19</v>
      </c>
      <c r="G130" s="37">
        <f t="shared" ref="G130:G134" si="0">900*2</f>
        <v>1800</v>
      </c>
    </row>
    <row r="131" spans="1:7" x14ac:dyDescent="0.3">
      <c r="A131" s="12" t="s">
        <v>303</v>
      </c>
      <c r="B131" s="35" t="s">
        <v>288</v>
      </c>
      <c r="C131" s="38" t="s">
        <v>289</v>
      </c>
      <c r="D131" s="38" t="s">
        <v>250</v>
      </c>
      <c r="E131" s="38" t="s">
        <v>66</v>
      </c>
      <c r="F131" s="39" t="s">
        <v>19</v>
      </c>
      <c r="G131" s="37">
        <f t="shared" si="0"/>
        <v>1800</v>
      </c>
    </row>
    <row r="132" spans="1:7" x14ac:dyDescent="0.3">
      <c r="A132" s="40" t="s">
        <v>304</v>
      </c>
      <c r="B132" s="35" t="s">
        <v>288</v>
      </c>
      <c r="C132" s="38" t="s">
        <v>289</v>
      </c>
      <c r="D132" s="38" t="s">
        <v>250</v>
      </c>
      <c r="E132" s="38" t="s">
        <v>66</v>
      </c>
      <c r="F132" s="39" t="s">
        <v>19</v>
      </c>
      <c r="G132" s="37">
        <f t="shared" si="0"/>
        <v>1800</v>
      </c>
    </row>
    <row r="133" spans="1:7" x14ac:dyDescent="0.3">
      <c r="A133" s="40" t="s">
        <v>305</v>
      </c>
      <c r="B133" s="41" t="s">
        <v>288</v>
      </c>
      <c r="C133" s="42" t="s">
        <v>289</v>
      </c>
      <c r="D133" s="42" t="s">
        <v>250</v>
      </c>
      <c r="E133" s="42" t="s">
        <v>66</v>
      </c>
      <c r="F133" s="43" t="s">
        <v>19</v>
      </c>
      <c r="G133" s="37">
        <f t="shared" si="0"/>
        <v>1800</v>
      </c>
    </row>
    <row r="134" spans="1:7" x14ac:dyDescent="0.3">
      <c r="A134" s="40" t="s">
        <v>306</v>
      </c>
      <c r="B134" s="44" t="s">
        <v>307</v>
      </c>
      <c r="C134" s="42" t="s">
        <v>308</v>
      </c>
      <c r="D134" s="42" t="s">
        <v>273</v>
      </c>
      <c r="E134" s="42" t="s">
        <v>66</v>
      </c>
      <c r="F134" s="43" t="s">
        <v>19</v>
      </c>
      <c r="G134" s="37">
        <f t="shared" si="0"/>
        <v>1800</v>
      </c>
    </row>
    <row r="135" spans="1:7" x14ac:dyDescent="0.3">
      <c r="A135" s="45" t="s">
        <v>309</v>
      </c>
      <c r="B135" s="46" t="s">
        <v>310</v>
      </c>
      <c r="C135" s="42" t="s">
        <v>311</v>
      </c>
      <c r="D135" s="42" t="s">
        <v>250</v>
      </c>
      <c r="E135" s="42" t="s">
        <v>66</v>
      </c>
      <c r="F135" s="43" t="s">
        <v>19</v>
      </c>
      <c r="G135" s="47">
        <f>2563.2*2</f>
        <v>5126.3999999999996</v>
      </c>
    </row>
    <row r="136" spans="1:7" x14ac:dyDescent="0.3">
      <c r="A136" s="40" t="s">
        <v>312</v>
      </c>
      <c r="B136" s="42" t="s">
        <v>252</v>
      </c>
      <c r="C136" s="42" t="s">
        <v>289</v>
      </c>
      <c r="D136" s="42" t="s">
        <v>250</v>
      </c>
      <c r="E136" s="42" t="s">
        <v>66</v>
      </c>
      <c r="F136" s="48" t="s">
        <v>19</v>
      </c>
      <c r="G136" s="49">
        <v>900</v>
      </c>
    </row>
    <row r="139" spans="1:7" x14ac:dyDescent="0.3">
      <c r="A139" s="50" t="s">
        <v>313</v>
      </c>
      <c r="B139" s="50"/>
      <c r="C139" s="50"/>
      <c r="D139" s="50"/>
      <c r="E139" s="50"/>
      <c r="F139" s="50"/>
      <c r="G139" s="50"/>
    </row>
    <row r="140" spans="1:7" x14ac:dyDescent="0.3">
      <c r="A140" s="51" t="s">
        <v>314</v>
      </c>
      <c r="B140" s="51" t="s">
        <v>7</v>
      </c>
      <c r="C140" s="51" t="s">
        <v>315</v>
      </c>
      <c r="D140" s="51" t="s">
        <v>244</v>
      </c>
      <c r="E140" s="51" t="s">
        <v>242</v>
      </c>
      <c r="F140" s="51" t="s">
        <v>316</v>
      </c>
      <c r="G140" s="51" t="s">
        <v>317</v>
      </c>
    </row>
    <row r="141" spans="1:7" x14ac:dyDescent="0.3">
      <c r="A141" s="52" t="s">
        <v>318</v>
      </c>
      <c r="B141" s="53" t="s">
        <v>319</v>
      </c>
      <c r="C141" s="54">
        <f>1200*3+1148.94+1175*2+1145.45+1176+1500*4</f>
        <v>15420.390000000001</v>
      </c>
      <c r="D141" s="48" t="s">
        <v>13</v>
      </c>
      <c r="E141" s="55" t="s">
        <v>249</v>
      </c>
      <c r="F141" s="42" t="s">
        <v>250</v>
      </c>
      <c r="G141" s="42" t="s">
        <v>320</v>
      </c>
    </row>
    <row r="142" spans="1:7" x14ac:dyDescent="0.3">
      <c r="A142" s="56" t="s">
        <v>321</v>
      </c>
      <c r="B142" s="53" t="s">
        <v>319</v>
      </c>
      <c r="C142" s="54">
        <f>998*6+891.83+977.21+748.5+635.09+858.28+90.73</f>
        <v>10189.640000000001</v>
      </c>
      <c r="D142" s="48" t="s">
        <v>13</v>
      </c>
      <c r="E142" s="57" t="s">
        <v>249</v>
      </c>
      <c r="F142" s="42" t="s">
        <v>250</v>
      </c>
      <c r="G142" s="42" t="s">
        <v>320</v>
      </c>
    </row>
    <row r="143" spans="1:7" x14ac:dyDescent="0.3">
      <c r="A143" s="56" t="s">
        <v>322</v>
      </c>
      <c r="B143" s="53" t="s">
        <v>319</v>
      </c>
      <c r="C143" s="54">
        <f>998*11+978.04</f>
        <v>11956.04</v>
      </c>
      <c r="D143" s="48" t="s">
        <v>13</v>
      </c>
      <c r="E143" s="57" t="s">
        <v>249</v>
      </c>
      <c r="F143" s="42" t="s">
        <v>250</v>
      </c>
      <c r="G143" s="42" t="s">
        <v>320</v>
      </c>
    </row>
    <row r="144" spans="1:7" x14ac:dyDescent="0.3">
      <c r="A144" s="52" t="s">
        <v>323</v>
      </c>
      <c r="B144" s="53" t="s">
        <v>319</v>
      </c>
      <c r="C144" s="54">
        <f>2500*4+2343.75+2447.92+2443.85+2450+2800*2+3100*2</f>
        <v>31485.52</v>
      </c>
      <c r="D144" s="48" t="s">
        <v>13</v>
      </c>
      <c r="E144" s="57" t="s">
        <v>249</v>
      </c>
      <c r="F144" s="42" t="s">
        <v>250</v>
      </c>
      <c r="G144" s="42" t="s">
        <v>320</v>
      </c>
    </row>
    <row r="145" spans="1:7" x14ac:dyDescent="0.3">
      <c r="A145" s="56" t="s">
        <v>324</v>
      </c>
      <c r="B145" s="53" t="s">
        <v>319</v>
      </c>
      <c r="C145" s="54">
        <f>998*4+913.06+935.63+521.68+938.12+181.45+1200*3</f>
        <v>11081.939999999999</v>
      </c>
      <c r="D145" s="48" t="s">
        <v>13</v>
      </c>
      <c r="E145" s="57" t="s">
        <v>249</v>
      </c>
      <c r="F145" s="42" t="s">
        <v>250</v>
      </c>
      <c r="G145" s="42" t="s">
        <v>320</v>
      </c>
    </row>
    <row r="146" spans="1:7" x14ac:dyDescent="0.3">
      <c r="A146" s="52" t="s">
        <v>325</v>
      </c>
      <c r="B146" s="53" t="s">
        <v>319</v>
      </c>
      <c r="C146" s="54">
        <f>1200*12</f>
        <v>14400</v>
      </c>
      <c r="D146" s="48" t="s">
        <v>13</v>
      </c>
      <c r="E146" s="57" t="s">
        <v>249</v>
      </c>
      <c r="F146" s="42" t="s">
        <v>250</v>
      </c>
      <c r="G146" s="42" t="s">
        <v>320</v>
      </c>
    </row>
    <row r="147" spans="1:7" x14ac:dyDescent="0.3">
      <c r="A147" s="52" t="s">
        <v>326</v>
      </c>
      <c r="B147" s="58" t="s">
        <v>327</v>
      </c>
      <c r="C147" s="54">
        <f>998*4+849.36+935.63+748.5+703.14+878.24+120.97+499</f>
        <v>8726.84</v>
      </c>
      <c r="D147" s="48" t="s">
        <v>13</v>
      </c>
      <c r="E147" s="57" t="s">
        <v>249</v>
      </c>
      <c r="F147" s="42" t="s">
        <v>250</v>
      </c>
      <c r="G147" s="42" t="s">
        <v>320</v>
      </c>
    </row>
    <row r="148" spans="1:7" x14ac:dyDescent="0.3">
      <c r="A148" s="52" t="s">
        <v>328</v>
      </c>
      <c r="B148" s="53" t="s">
        <v>319</v>
      </c>
      <c r="C148" s="54">
        <f>998*7+978.04+1200+1500*3</f>
        <v>13664.04</v>
      </c>
      <c r="D148" s="48" t="s">
        <v>13</v>
      </c>
      <c r="E148" s="57" t="s">
        <v>249</v>
      </c>
      <c r="F148" s="42" t="s">
        <v>250</v>
      </c>
      <c r="G148" s="42" t="s">
        <v>320</v>
      </c>
    </row>
    <row r="149" spans="1:7" x14ac:dyDescent="0.3">
      <c r="A149" s="56" t="s">
        <v>329</v>
      </c>
      <c r="B149" s="53" t="s">
        <v>319</v>
      </c>
      <c r="C149" s="54">
        <f>1200*8+1175+1125+1090.91+1090.91</f>
        <v>14081.82</v>
      </c>
      <c r="D149" s="48" t="s">
        <v>13</v>
      </c>
      <c r="E149" s="57" t="s">
        <v>249</v>
      </c>
      <c r="F149" s="42" t="s">
        <v>250</v>
      </c>
      <c r="G149" s="42" t="s">
        <v>320</v>
      </c>
    </row>
    <row r="150" spans="1:7" x14ac:dyDescent="0.3">
      <c r="A150" s="52" t="s">
        <v>330</v>
      </c>
      <c r="B150" s="53" t="s">
        <v>319</v>
      </c>
      <c r="C150" s="54">
        <f>1500*12</f>
        <v>18000</v>
      </c>
      <c r="D150" s="48" t="s">
        <v>13</v>
      </c>
      <c r="E150" s="57" t="s">
        <v>249</v>
      </c>
      <c r="F150" s="42" t="s">
        <v>250</v>
      </c>
      <c r="G150" s="42" t="s">
        <v>320</v>
      </c>
    </row>
    <row r="151" spans="1:7" x14ac:dyDescent="0.3">
      <c r="A151" s="56" t="s">
        <v>331</v>
      </c>
      <c r="B151" s="53" t="s">
        <v>319</v>
      </c>
      <c r="C151" s="54">
        <f>1200*7+1152+1500+2800*3</f>
        <v>19452</v>
      </c>
      <c r="D151" s="48" t="s">
        <v>13</v>
      </c>
      <c r="E151" s="57" t="s">
        <v>249</v>
      </c>
      <c r="F151" s="42" t="s">
        <v>250</v>
      </c>
      <c r="G151" s="42" t="s">
        <v>320</v>
      </c>
    </row>
    <row r="152" spans="1:7" x14ac:dyDescent="0.3">
      <c r="A152" s="56" t="s">
        <v>332</v>
      </c>
      <c r="B152" s="53" t="s">
        <v>319</v>
      </c>
      <c r="C152" s="54">
        <f>998*12</f>
        <v>11976</v>
      </c>
      <c r="D152" s="48" t="s">
        <v>13</v>
      </c>
      <c r="E152" s="57" t="s">
        <v>249</v>
      </c>
      <c r="F152" s="42" t="s">
        <v>250</v>
      </c>
      <c r="G152" s="42" t="s">
        <v>320</v>
      </c>
    </row>
    <row r="153" spans="1:7" x14ac:dyDescent="0.3">
      <c r="A153" s="52" t="s">
        <v>333</v>
      </c>
      <c r="B153" s="53" t="s">
        <v>319</v>
      </c>
      <c r="C153" s="54">
        <f>1200*7+1176+1500*4</f>
        <v>15576</v>
      </c>
      <c r="D153" s="48" t="s">
        <v>13</v>
      </c>
      <c r="E153" s="57" t="s">
        <v>249</v>
      </c>
      <c r="F153" s="42" t="s">
        <v>250</v>
      </c>
      <c r="G153" s="42" t="s">
        <v>320</v>
      </c>
    </row>
    <row r="154" spans="1:7" x14ac:dyDescent="0.3">
      <c r="A154" s="52" t="s">
        <v>334</v>
      </c>
      <c r="B154" s="53" t="s">
        <v>319</v>
      </c>
      <c r="C154" s="54">
        <f>998*10+978.04+907.27</f>
        <v>11865.310000000001</v>
      </c>
      <c r="D154" s="48" t="s">
        <v>13</v>
      </c>
      <c r="E154" s="57" t="s">
        <v>249</v>
      </c>
      <c r="F154" s="42" t="s">
        <v>250</v>
      </c>
      <c r="G154" s="42" t="s">
        <v>320</v>
      </c>
    </row>
    <row r="155" spans="1:7" x14ac:dyDescent="0.3">
      <c r="A155" s="56" t="s">
        <v>335</v>
      </c>
      <c r="B155" s="53" t="s">
        <v>319</v>
      </c>
      <c r="C155" s="54">
        <f>1500*7+1470+1800*4</f>
        <v>19170</v>
      </c>
      <c r="D155" s="48" t="s">
        <v>13</v>
      </c>
      <c r="E155" s="57" t="s">
        <v>249</v>
      </c>
      <c r="F155" s="42" t="s">
        <v>250</v>
      </c>
      <c r="G155" s="42" t="s">
        <v>320</v>
      </c>
    </row>
    <row r="156" spans="1:7" x14ac:dyDescent="0.3">
      <c r="A156" s="52" t="s">
        <v>336</v>
      </c>
      <c r="B156" s="53" t="s">
        <v>319</v>
      </c>
      <c r="C156" s="54">
        <f>1200*6+1123.4+1150+1175+1118.18+1176+1090.91</f>
        <v>14033.49</v>
      </c>
      <c r="D156" s="48" t="s">
        <v>13</v>
      </c>
      <c r="E156" s="57" t="s">
        <v>249</v>
      </c>
      <c r="F156" s="42" t="s">
        <v>250</v>
      </c>
      <c r="G156" s="42" t="s">
        <v>320</v>
      </c>
    </row>
    <row r="157" spans="1:7" x14ac:dyDescent="0.3">
      <c r="A157" s="52" t="s">
        <v>337</v>
      </c>
      <c r="B157" s="53" t="s">
        <v>319</v>
      </c>
      <c r="C157" s="54">
        <f>1500*8+1437.5+1431.82+1470+1454.55</f>
        <v>17793.87</v>
      </c>
      <c r="D157" s="48" t="s">
        <v>13</v>
      </c>
      <c r="E157" s="57" t="s">
        <v>249</v>
      </c>
      <c r="F157" s="42" t="s">
        <v>250</v>
      </c>
      <c r="G157" s="42" t="s">
        <v>320</v>
      </c>
    </row>
    <row r="158" spans="1:7" x14ac:dyDescent="0.3">
      <c r="A158" s="52" t="s">
        <v>338</v>
      </c>
      <c r="B158" s="58" t="s">
        <v>327</v>
      </c>
      <c r="C158" s="54">
        <f>998+977.21+956.42+884.59+978.04+907.27+998*3</f>
        <v>8695.5300000000007</v>
      </c>
      <c r="D158" s="48" t="s">
        <v>13</v>
      </c>
      <c r="E158" s="57" t="s">
        <v>249</v>
      </c>
      <c r="F158" s="42" t="s">
        <v>250</v>
      </c>
      <c r="G158" s="42" t="s">
        <v>320</v>
      </c>
    </row>
    <row r="159" spans="1:7" x14ac:dyDescent="0.3">
      <c r="A159" s="56" t="s">
        <v>339</v>
      </c>
      <c r="B159" s="53" t="s">
        <v>319</v>
      </c>
      <c r="C159" s="54">
        <f>1200*10+1176+1127.27</f>
        <v>14303.27</v>
      </c>
      <c r="D159" s="48" t="s">
        <v>13</v>
      </c>
      <c r="E159" s="57" t="s">
        <v>249</v>
      </c>
      <c r="F159" s="42" t="s">
        <v>250</v>
      </c>
      <c r="G159" s="42" t="s">
        <v>320</v>
      </c>
    </row>
    <row r="160" spans="1:7" x14ac:dyDescent="0.3">
      <c r="A160" s="56" t="s">
        <v>340</v>
      </c>
      <c r="B160" s="53" t="s">
        <v>319</v>
      </c>
      <c r="C160" s="54">
        <f>1200*8+1148.94+1118.18+1176+1090.91</f>
        <v>14134.03</v>
      </c>
      <c r="D160" s="48" t="s">
        <v>13</v>
      </c>
      <c r="E160" s="57" t="s">
        <v>249</v>
      </c>
      <c r="F160" s="42" t="s">
        <v>250</v>
      </c>
      <c r="G160" s="42" t="s">
        <v>320</v>
      </c>
    </row>
  </sheetData>
  <mergeCells count="5">
    <mergeCell ref="A1:G1"/>
    <mergeCell ref="A2:G2"/>
    <mergeCell ref="A94:G94"/>
    <mergeCell ref="A117:G117"/>
    <mergeCell ref="A139:G139"/>
  </mergeCells>
  <conditionalFormatting sqref="A97:A99 A101:A109">
    <cfRule type="cellIs" dxfId="54" priority="31" operator="equal">
      <formula>"Swift"</formula>
    </cfRule>
  </conditionalFormatting>
  <conditionalFormatting sqref="A97:A99 A101:A109">
    <cfRule type="containsText" dxfId="53" priority="32" operator="containsText" text="Invoice">
      <formula>NOT(ISERROR(SEARCH(("Invoice"),(A97))))</formula>
    </cfRule>
  </conditionalFormatting>
  <conditionalFormatting sqref="A97:A99 A101:A109">
    <cfRule type="containsText" dxfId="52" priority="33" operator="containsText" text="Outros (especificar)">
      <formula>NOT(ISERROR(SEARCH(("Outros (especificar)"),(A97))))</formula>
    </cfRule>
  </conditionalFormatting>
  <conditionalFormatting sqref="A97:A99 A101:A109">
    <cfRule type="containsText" dxfId="51" priority="34" operator="containsText" text="Contrato Câmbio / Swift">
      <formula>NOT(ISERROR(SEARCH(("Contrato Câmbio / Swift"),(A97))))</formula>
    </cfRule>
  </conditionalFormatting>
  <conditionalFormatting sqref="A97:A99 A101:A109">
    <cfRule type="containsText" dxfId="50" priority="35" operator="containsText" text="Recibo original">
      <formula>NOT(ISERROR(SEARCH(("Recibo original"),(A97))))</formula>
    </cfRule>
  </conditionalFormatting>
  <conditionalFormatting sqref="A100">
    <cfRule type="cellIs" dxfId="49" priority="36" operator="equal">
      <formula>"Swift"</formula>
    </cfRule>
  </conditionalFormatting>
  <conditionalFormatting sqref="A100">
    <cfRule type="containsText" dxfId="48" priority="37" operator="containsText" text="Invoice">
      <formula>NOT(ISERROR(SEARCH(("Invoice"),(A100))))</formula>
    </cfRule>
  </conditionalFormatting>
  <conditionalFormatting sqref="A100">
    <cfRule type="containsText" dxfId="47" priority="38" operator="containsText" text="Outros (especificar)">
      <formula>NOT(ISERROR(SEARCH(("Outros (especificar)"),(A100))))</formula>
    </cfRule>
  </conditionalFormatting>
  <conditionalFormatting sqref="A100">
    <cfRule type="containsText" dxfId="46" priority="39" operator="containsText" text="Contrato Câmbio / Swift">
      <formula>NOT(ISERROR(SEARCH(("Contrato Câmbio / Swift"),(A100))))</formula>
    </cfRule>
  </conditionalFormatting>
  <conditionalFormatting sqref="A100">
    <cfRule type="containsText" dxfId="45" priority="40" operator="containsText" text="Recibo original">
      <formula>NOT(ISERROR(SEARCH(("Recibo original"),(A100))))</formula>
    </cfRule>
  </conditionalFormatting>
  <conditionalFormatting sqref="A113:A114">
    <cfRule type="cellIs" dxfId="44" priority="41" operator="equal">
      <formula>"Swift"</formula>
    </cfRule>
  </conditionalFormatting>
  <conditionalFormatting sqref="A113:A114">
    <cfRule type="containsText" dxfId="43" priority="42" operator="containsText" text="Invoice">
      <formula>NOT(ISERROR(SEARCH(("Invoice"),(A113))))</formula>
    </cfRule>
  </conditionalFormatting>
  <conditionalFormatting sqref="A113:A114">
    <cfRule type="containsText" dxfId="42" priority="43" operator="containsText" text="Outros (especificar)">
      <formula>NOT(ISERROR(SEARCH(("Outros (especificar)"),(A113))))</formula>
    </cfRule>
  </conditionalFormatting>
  <conditionalFormatting sqref="A113:A114">
    <cfRule type="containsText" dxfId="41" priority="44" operator="containsText" text="Contrato Câmbio / Swift">
      <formula>NOT(ISERROR(SEARCH(("Contrato Câmbio / Swift"),(A113))))</formula>
    </cfRule>
  </conditionalFormatting>
  <conditionalFormatting sqref="A113:A114">
    <cfRule type="containsText" dxfId="40" priority="45" operator="containsText" text="Recibo original">
      <formula>NOT(ISERROR(SEARCH(("Recibo original"),(A113))))</formula>
    </cfRule>
  </conditionalFormatting>
  <conditionalFormatting sqref="A110:A112">
    <cfRule type="cellIs" dxfId="39" priority="46" operator="equal">
      <formula>"Swift"</formula>
    </cfRule>
  </conditionalFormatting>
  <conditionalFormatting sqref="A110:A112">
    <cfRule type="containsText" dxfId="38" priority="47" operator="containsText" text="Invoice">
      <formula>NOT(ISERROR(SEARCH(("Invoice"),(A110))))</formula>
    </cfRule>
  </conditionalFormatting>
  <conditionalFormatting sqref="A110:A112">
    <cfRule type="containsText" dxfId="37" priority="48" operator="containsText" text="Outros (especificar)">
      <formula>NOT(ISERROR(SEARCH(("Outros (especificar)"),(A110))))</formula>
    </cfRule>
  </conditionalFormatting>
  <conditionalFormatting sqref="A110:A112">
    <cfRule type="containsText" dxfId="36" priority="49" operator="containsText" text="Contrato Câmbio / Swift">
      <formula>NOT(ISERROR(SEARCH(("Contrato Câmbio / Swift"),(A110))))</formula>
    </cfRule>
  </conditionalFormatting>
  <conditionalFormatting sqref="A110:A112">
    <cfRule type="containsText" dxfId="35" priority="50" operator="containsText" text="Recibo original">
      <formula>NOT(ISERROR(SEARCH(("Recibo original"),(A110))))</formula>
    </cfRule>
  </conditionalFormatting>
  <conditionalFormatting sqref="A115">
    <cfRule type="cellIs" dxfId="34" priority="51" operator="equal">
      <formula>"Swift"</formula>
    </cfRule>
  </conditionalFormatting>
  <conditionalFormatting sqref="A115">
    <cfRule type="containsText" dxfId="33" priority="52" operator="containsText" text="Invoice">
      <formula>NOT(ISERROR(SEARCH(("Invoice"),(A115))))</formula>
    </cfRule>
  </conditionalFormatting>
  <conditionalFormatting sqref="A115">
    <cfRule type="containsText" dxfId="32" priority="53" operator="containsText" text="Outros (especificar)">
      <formula>NOT(ISERROR(SEARCH(("Outros (especificar)"),(A115))))</formula>
    </cfRule>
  </conditionalFormatting>
  <conditionalFormatting sqref="A115">
    <cfRule type="containsText" dxfId="31" priority="54" operator="containsText" text="Contrato Câmbio / Swift">
      <formula>NOT(ISERROR(SEARCH(("Contrato Câmbio / Swift"),(A115))))</formula>
    </cfRule>
  </conditionalFormatting>
  <conditionalFormatting sqref="A115">
    <cfRule type="containsText" dxfId="30" priority="55" operator="containsText" text="Recibo original">
      <formula>NOT(ISERROR(SEARCH(("Recibo original"),(A115))))</formula>
    </cfRule>
  </conditionalFormatting>
  <conditionalFormatting sqref="A119:A121 A123:A136">
    <cfRule type="cellIs" dxfId="29" priority="21" operator="equal">
      <formula>"Swift"</formula>
    </cfRule>
  </conditionalFormatting>
  <conditionalFormatting sqref="A119:A121 A123:A136">
    <cfRule type="containsText" dxfId="28" priority="22" operator="containsText" text="Invoice">
      <formula>NOT(ISERROR(SEARCH(("Invoice"),(A119))))</formula>
    </cfRule>
  </conditionalFormatting>
  <conditionalFormatting sqref="A119:A121 A123:A136">
    <cfRule type="containsText" dxfId="27" priority="23" operator="containsText" text="Outros (especificar)">
      <formula>NOT(ISERROR(SEARCH(("Outros (especificar)"),(A119))))</formula>
    </cfRule>
  </conditionalFormatting>
  <conditionalFormatting sqref="A119:A121 A123:A136">
    <cfRule type="containsText" dxfId="26" priority="24" operator="containsText" text="Contrato Câmbio / Swift">
      <formula>NOT(ISERROR(SEARCH(("Contrato Câmbio / Swift"),(A119))))</formula>
    </cfRule>
  </conditionalFormatting>
  <conditionalFormatting sqref="A119:A121 A123:A136">
    <cfRule type="containsText" dxfId="25" priority="25" operator="containsText" text="Recibo original">
      <formula>NOT(ISERROR(SEARCH(("Recibo original"),(A119))))</formula>
    </cfRule>
  </conditionalFormatting>
  <conditionalFormatting sqref="A122">
    <cfRule type="cellIs" dxfId="24" priority="26" operator="equal">
      <formula>"Swift"</formula>
    </cfRule>
  </conditionalFormatting>
  <conditionalFormatting sqref="A122">
    <cfRule type="containsText" dxfId="23" priority="27" operator="containsText" text="Invoice">
      <formula>NOT(ISERROR(SEARCH(("Invoice"),(A122))))</formula>
    </cfRule>
  </conditionalFormatting>
  <conditionalFormatting sqref="A122">
    <cfRule type="containsText" dxfId="22" priority="28" operator="containsText" text="Outros (especificar)">
      <formula>NOT(ISERROR(SEARCH(("Outros (especificar)"),(A122))))</formula>
    </cfRule>
  </conditionalFormatting>
  <conditionalFormatting sqref="A122">
    <cfRule type="containsText" dxfId="21" priority="29" operator="containsText" text="Contrato Câmbio / Swift">
      <formula>NOT(ISERROR(SEARCH(("Contrato Câmbio / Swift"),(A122))))</formula>
    </cfRule>
  </conditionalFormatting>
  <conditionalFormatting sqref="A122">
    <cfRule type="containsText" dxfId="20" priority="30" operator="containsText" text="Recibo original">
      <formula>NOT(ISERROR(SEARCH(("Recibo original"),(A122))))</formula>
    </cfRule>
  </conditionalFormatting>
  <conditionalFormatting sqref="A141 A147:A148 A153:A154 A156:A158">
    <cfRule type="cellIs" dxfId="19" priority="1" operator="equal">
      <formula>"Swift"</formula>
    </cfRule>
  </conditionalFormatting>
  <conditionalFormatting sqref="A141 A147:A148 A153:A154 A156:A158">
    <cfRule type="containsText" dxfId="18" priority="2" operator="containsText" text="Invoice">
      <formula>NOT(ISERROR(SEARCH(("Invoice"),(A141))))</formula>
    </cfRule>
  </conditionalFormatting>
  <conditionalFormatting sqref="A141 A147:A148 A153:A154 A156:A158">
    <cfRule type="containsText" dxfId="17" priority="3" operator="containsText" text="Outros (especificar)">
      <formula>NOT(ISERROR(SEARCH(("Outros (especificar)"),(A141))))</formula>
    </cfRule>
  </conditionalFormatting>
  <conditionalFormatting sqref="A141 A147:A148 A153:A154 A156:A158">
    <cfRule type="containsText" dxfId="16" priority="4" operator="containsText" text="Contrato Câmbio / Swift">
      <formula>NOT(ISERROR(SEARCH(("Contrato Câmbio / Swift"),(A141))))</formula>
    </cfRule>
  </conditionalFormatting>
  <conditionalFormatting sqref="A141 A147:A148 A153:A154 A156:A158">
    <cfRule type="containsText" dxfId="15" priority="5" operator="containsText" text="Recibo original">
      <formula>NOT(ISERROR(SEARCH(("Recibo original"),(A141))))</formula>
    </cfRule>
  </conditionalFormatting>
  <conditionalFormatting sqref="A150">
    <cfRule type="cellIs" dxfId="14" priority="6" operator="equal">
      <formula>"Swift"</formula>
    </cfRule>
  </conditionalFormatting>
  <conditionalFormatting sqref="A150">
    <cfRule type="containsText" dxfId="13" priority="7" operator="containsText" text="Invoice">
      <formula>NOT(ISERROR(SEARCH(("Invoice"),(A150))))</formula>
    </cfRule>
  </conditionalFormatting>
  <conditionalFormatting sqref="A150">
    <cfRule type="containsText" dxfId="12" priority="8" operator="containsText" text="Outros (especificar)">
      <formula>NOT(ISERROR(SEARCH(("Outros (especificar)"),(A150))))</formula>
    </cfRule>
  </conditionalFormatting>
  <conditionalFormatting sqref="A150">
    <cfRule type="containsText" dxfId="11" priority="9" operator="containsText" text="Contrato Câmbio / Swift">
      <formula>NOT(ISERROR(SEARCH(("Contrato Câmbio / Swift"),(A150))))</formula>
    </cfRule>
  </conditionalFormatting>
  <conditionalFormatting sqref="A150">
    <cfRule type="containsText" dxfId="10" priority="10" operator="containsText" text="Recibo original">
      <formula>NOT(ISERROR(SEARCH(("Recibo original"),(A150))))</formula>
    </cfRule>
  </conditionalFormatting>
  <conditionalFormatting sqref="A144">
    <cfRule type="cellIs" dxfId="9" priority="11" operator="equal">
      <formula>"Swift"</formula>
    </cfRule>
  </conditionalFormatting>
  <conditionalFormatting sqref="A144">
    <cfRule type="containsText" dxfId="8" priority="12" operator="containsText" text="Invoice">
      <formula>NOT(ISERROR(SEARCH(("Invoice"),(A144))))</formula>
    </cfRule>
  </conditionalFormatting>
  <conditionalFormatting sqref="A144">
    <cfRule type="containsText" dxfId="7" priority="13" operator="containsText" text="Outros (especificar)">
      <formula>NOT(ISERROR(SEARCH(("Outros (especificar)"),(A144))))</formula>
    </cfRule>
  </conditionalFormatting>
  <conditionalFormatting sqref="A144">
    <cfRule type="containsText" dxfId="6" priority="14" operator="containsText" text="Contrato Câmbio / Swift">
      <formula>NOT(ISERROR(SEARCH(("Contrato Câmbio / Swift"),(A144))))</formula>
    </cfRule>
  </conditionalFormatting>
  <conditionalFormatting sqref="A144">
    <cfRule type="containsText" dxfId="5" priority="15" operator="containsText" text="Recibo original">
      <formula>NOT(ISERROR(SEARCH(("Recibo original"),(A144))))</formula>
    </cfRule>
  </conditionalFormatting>
  <conditionalFormatting sqref="A146">
    <cfRule type="cellIs" dxfId="4" priority="16" operator="equal">
      <formula>"Swift"</formula>
    </cfRule>
  </conditionalFormatting>
  <conditionalFormatting sqref="A146">
    <cfRule type="containsText" dxfId="3" priority="17" operator="containsText" text="Invoice">
      <formula>NOT(ISERROR(SEARCH(("Invoice"),(A146))))</formula>
    </cfRule>
  </conditionalFormatting>
  <conditionalFormatting sqref="A146">
    <cfRule type="containsText" dxfId="2" priority="18" operator="containsText" text="Outros (especificar)">
      <formula>NOT(ISERROR(SEARCH(("Outros (especificar)"),(A146))))</formula>
    </cfRule>
  </conditionalFormatting>
  <conditionalFormatting sqref="A146">
    <cfRule type="containsText" dxfId="1" priority="19" operator="containsText" text="Contrato Câmbio / Swift">
      <formula>NOT(ISERROR(SEARCH(("Contrato Câmbio / Swift"),(A146))))</formula>
    </cfRule>
  </conditionalFormatting>
  <conditionalFormatting sqref="A146">
    <cfRule type="containsText" dxfId="0" priority="20" operator="containsText" text="Recibo original">
      <formula>NOT(ISERROR(SEARCH(("Recibo original"),(A146))))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carlo</cp:lastModifiedBy>
  <dcterms:created xsi:type="dcterms:W3CDTF">2020-04-27T10:05:23Z</dcterms:created>
  <dcterms:modified xsi:type="dcterms:W3CDTF">2020-04-27T10:08:26Z</dcterms:modified>
</cp:coreProperties>
</file>