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6124249faa363f/Desktop/"/>
    </mc:Choice>
  </mc:AlternateContent>
  <xr:revisionPtr revIDLastSave="0" documentId="8_{2B732ABF-67FB-4A9E-9954-D659078BD81C}" xr6:coauthVersionLast="46" xr6:coauthVersionMax="46" xr10:uidLastSave="{00000000-0000-0000-0000-000000000000}"/>
  <bookViews>
    <workbookView xWindow="-120" yWindow="-120" windowWidth="20730" windowHeight="11160" xr2:uid="{DFA28718-88E6-4F5D-BE86-B69F9D7D2A21}"/>
  </bookViews>
  <sheets>
    <sheet name="Planilha1" sheetId="1" r:id="rId1"/>
  </sheets>
  <definedNames>
    <definedName name="_xlnm._FilterDatabase" localSheetId="0" hidden="1">Planilha1!$A$2:$E$82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1" l="1"/>
  <c r="E83" i="1"/>
  <c r="D140" i="1"/>
  <c r="E11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30" i="1"/>
  <c r="E77" i="1"/>
  <c r="E28" i="1"/>
  <c r="E32" i="1"/>
  <c r="E23" i="1"/>
  <c r="E35" i="1"/>
  <c r="E59" i="1"/>
  <c r="E44" i="1"/>
  <c r="E42" i="1"/>
  <c r="E13" i="1"/>
  <c r="E53" i="1"/>
  <c r="E36" i="1"/>
  <c r="E67" i="1"/>
  <c r="E33" i="1"/>
  <c r="E14" i="1"/>
  <c r="E41" i="1"/>
  <c r="E19" i="1"/>
  <c r="E69" i="1"/>
  <c r="E37" i="1"/>
  <c r="E80" i="1"/>
  <c r="E66" i="1"/>
  <c r="E8" i="1"/>
  <c r="E22" i="1"/>
  <c r="E24" i="1"/>
  <c r="E18" i="1"/>
  <c r="E43" i="1"/>
  <c r="E48" i="1"/>
  <c r="E25" i="1"/>
  <c r="E47" i="1"/>
  <c r="E45" i="1"/>
  <c r="E60" i="1"/>
  <c r="E29" i="1"/>
  <c r="E20" i="1"/>
  <c r="E6" i="1"/>
  <c r="E15" i="1"/>
  <c r="E31" i="1"/>
  <c r="E40" i="1"/>
  <c r="E5" i="1"/>
  <c r="E10" i="1"/>
  <c r="E7" i="1"/>
  <c r="E72" i="1"/>
  <c r="E52" i="1"/>
  <c r="E17" i="1"/>
  <c r="E79" i="1"/>
  <c r="E58" i="1"/>
  <c r="E39" i="1"/>
  <c r="E34" i="1"/>
  <c r="E4" i="1"/>
  <c r="E26" i="1"/>
  <c r="E12" i="1"/>
  <c r="E11" i="1"/>
  <c r="E9" i="1"/>
  <c r="E3" i="1"/>
</calcChain>
</file>

<file path=xl/sharedStrings.xml><?xml version="1.0" encoding="utf-8"?>
<sst xmlns="http://schemas.openxmlformats.org/spreadsheetml/2006/main" count="590" uniqueCount="324">
  <si>
    <t>NOME</t>
  </si>
  <si>
    <t>CNPJ</t>
  </si>
  <si>
    <t>VIGÊNCIA</t>
  </si>
  <si>
    <t>PAGAMENTO TOTAL</t>
  </si>
  <si>
    <t>CR TURISMO LTDA</t>
  </si>
  <si>
    <t>09.452.599/0001-79</t>
  </si>
  <si>
    <t>01/01/2020 - 31/12/2020</t>
  </si>
  <si>
    <t>POSSI EMPREENDIMENTOS IMOBILIARIOS LTDA - EPP</t>
  </si>
  <si>
    <t>50.863.281/0001-84</t>
  </si>
  <si>
    <t>S&amp;J IMOVEIS LTDA - ME</t>
  </si>
  <si>
    <t>10.594.376/0001-25</t>
  </si>
  <si>
    <t>NOVASOLAR EMPREENDIMENTOS IMOBILIÁRIOS S/C LTDA</t>
  </si>
  <si>
    <t xml:space="preserve">	69.094.845/0001-90</t>
  </si>
  <si>
    <t>TELEFÔNICA BRASIL S.A</t>
  </si>
  <si>
    <t xml:space="preserve">	02.558.157/0001-62</t>
  </si>
  <si>
    <t>MILENIO PAES E DOCES LTDA - EPP</t>
  </si>
  <si>
    <t xml:space="preserve">	03.589.725/0001-55</t>
  </si>
  <si>
    <t>ELETROPAULO METROPOLITANA ELETRICIDADE DE SÃO PAULO S.A.</t>
  </si>
  <si>
    <t>61.695.227/0001-93</t>
  </si>
  <si>
    <t>TUTOIA COPIAS S/C LTDA ME</t>
  </si>
  <si>
    <t xml:space="preserve">	59.583.773/0001-90</t>
  </si>
  <si>
    <t>LOCAWEB SERVICOS DE INTERNET AS</t>
  </si>
  <si>
    <t>02.351.877/0001-52</t>
  </si>
  <si>
    <t>EMPRESA BRASILEIRA DE TELECOMUNICACOES SA EMBRATEL</t>
  </si>
  <si>
    <t>33.530.486/0125-69</t>
  </si>
  <si>
    <t>CIA DE SANEAMENTO BÁSICO DO ESTADO DE SÃO PAULO SABESP</t>
  </si>
  <si>
    <t xml:space="preserve">	43.776.517/0001-80</t>
  </si>
  <si>
    <t>TUTOIA EXPRESS SERVIÇOS POSTAIS LTDA - EPP</t>
  </si>
  <si>
    <t>00.011.835/0001-47</t>
  </si>
  <si>
    <t>SISTUT SERVIÇOS POSTAIS EIRELI EPP</t>
  </si>
  <si>
    <t>24.129.509/0001-05</t>
  </si>
  <si>
    <t>COOPERATIVA UNIAO SERV DOS TAXISTAS AUTONOMOS DE S.P.</t>
  </si>
  <si>
    <t>59.558.411/0001-40</t>
  </si>
  <si>
    <t>FORT WORK SERVIÇOS TERCEIRIZADOS LTDA</t>
  </si>
  <si>
    <t>12.615.287/0001-43</t>
  </si>
  <si>
    <t>COTAÇÃO D.T.V.M. S/A</t>
  </si>
  <si>
    <t xml:space="preserve">	17.354.911/0001-10</t>
  </si>
  <si>
    <t>E.S.P. MATERIAIS ELÉTRICOS EIRELI</t>
  </si>
  <si>
    <t>23.056.809/0001-30</t>
  </si>
  <si>
    <t>JR COMUNICAÇÃO E PUBLICIDADE LTDA</t>
  </si>
  <si>
    <t xml:space="preserve">	11.178.322/0001-41</t>
  </si>
  <si>
    <t>RMG SERVIÇOS CONTÁBEIS LTDA ME</t>
  </si>
  <si>
    <t>07.157.237/0001-20</t>
  </si>
  <si>
    <t>KARIN GOMES DA COSTA</t>
  </si>
  <si>
    <t>170.805.778-10</t>
  </si>
  <si>
    <t>J. C. FRANCO COMERCIAL ME</t>
  </si>
  <si>
    <t>19.766.862/0001-58</t>
  </si>
  <si>
    <t>A. MALTAROLLO LTDA</t>
  </si>
  <si>
    <t>57.587.701/0001-96</t>
  </si>
  <si>
    <t>NESTLE BRASIL LTDA</t>
  </si>
  <si>
    <t>60.409.075/0100-34</t>
  </si>
  <si>
    <t>TRADING SOLUÇÃO INTERNACIONAL LTDA</t>
  </si>
  <si>
    <t>03.497.925/0001-88</t>
  </si>
  <si>
    <t>SUPLEY LABORATORIO DE ALIMENTOS E SUPLEMENTOS LTDA</t>
  </si>
  <si>
    <t>07.578.713/0004-29</t>
  </si>
  <si>
    <t>COMERCIAL MOVEI JS LTDA</t>
  </si>
  <si>
    <t>21.660.838/0001-81</t>
  </si>
  <si>
    <t>DARCY HELENO VICTORIO</t>
  </si>
  <si>
    <t>08.238.296/0001-95</t>
  </si>
  <si>
    <t>DR. IMAGEM CLINICA RADIO LT</t>
  </si>
  <si>
    <t>26.153.793/0001-72</t>
  </si>
  <si>
    <t>SUPRICORP SUPRIMENTOS LTDA</t>
  </si>
  <si>
    <t xml:space="preserve">	54.651.716/0001-88</t>
  </si>
  <si>
    <t>ANDRE DOS SANTOS CRUZ COMERCIO E SERVICOS CONSTRUCAO CIVIL</t>
  </si>
  <si>
    <t>17.258.475/0001-85</t>
  </si>
  <si>
    <t>KALUNGA COM. E IND. GRÁFICA LTDA</t>
  </si>
  <si>
    <t>43.283.811/0012-02</t>
  </si>
  <si>
    <t>EXPRESSO TRANSGOMES LTDA</t>
  </si>
  <si>
    <t>02.554.926/0001-54</t>
  </si>
  <si>
    <t>SONIMED DIAGNOSTIO MEDICO LTDA</t>
  </si>
  <si>
    <t>52.369.931/0001-65</t>
  </si>
  <si>
    <t>CLARO S/A</t>
  </si>
  <si>
    <t>40.432.544/0001-47</t>
  </si>
  <si>
    <t>A2 COLORS COMUNICACAO VISUAL EIRELI</t>
  </si>
  <si>
    <t>07.293.492/0001-08</t>
  </si>
  <si>
    <t>VIA VAREJO S/A</t>
  </si>
  <si>
    <t>33.041.260/1001-18</t>
  </si>
  <si>
    <t>C&amp;F NOVA CAR LTDA</t>
  </si>
  <si>
    <t>13.783.324/0001-95</t>
  </si>
  <si>
    <t>H2O</t>
  </si>
  <si>
    <t>DR SUPRIMENTOS PARA INFORMATICA EIRELI</t>
  </si>
  <si>
    <t>10.220.484/0001-38</t>
  </si>
  <si>
    <t>INPI</t>
  </si>
  <si>
    <t>COMERCIO DE ACUMULADORES LAPA LTDA</t>
  </si>
  <si>
    <t>58.178.286/0001-80</t>
  </si>
  <si>
    <t>VENIT PARTICIPAÇÕES HOTELEIRAS</t>
  </si>
  <si>
    <t>17.817.992/0001-47</t>
  </si>
  <si>
    <t>MARCENARIA E DECORAÇÃO ELTON LTDA ME</t>
  </si>
  <si>
    <t>61.199.089/0001-51</t>
  </si>
  <si>
    <t>7 TABELIONATO DE PROTESTO DE TITULOS</t>
  </si>
  <si>
    <t>60.048.196/0001-16</t>
  </si>
  <si>
    <t>3 OFICIAL DE REGISTRO E TITULOS DE DOCUMENTOS</t>
  </si>
  <si>
    <t>45.572.625/0001-66</t>
  </si>
  <si>
    <t>4 TABELIONATO DE NOTAS DA CAPITAL</t>
  </si>
  <si>
    <t>45.565.702/0001-50</t>
  </si>
  <si>
    <t>CHAIL DISTRIBUIDORA DE VEICULOS LTDA</t>
  </si>
  <si>
    <t>22.473.585/0003-61</t>
  </si>
  <si>
    <t>FLORICULTURA GIRASSOIS LTDA</t>
  </si>
  <si>
    <t>59.464.396/0001-70</t>
  </si>
  <si>
    <t>SOLUTI SOLUÇÕES EM NEGÓCIOS INTELIGENTES S/A</t>
  </si>
  <si>
    <t>09.461.647/0001-95</t>
  </si>
  <si>
    <t>DELL COMPUTADORES DO BRASIL LTDA</t>
  </si>
  <si>
    <t>72.381.189/0006-25</t>
  </si>
  <si>
    <t>LABI EXAMES S/A</t>
  </si>
  <si>
    <t>27.579.749/0001-91</t>
  </si>
  <si>
    <t>CONFECCOES KEKO LTDA</t>
  </si>
  <si>
    <t>59.257.956/0001-16</t>
  </si>
  <si>
    <t>FLORISVALDO LUZ DE NOVAES</t>
  </si>
  <si>
    <t>000.525.278-40</t>
  </si>
  <si>
    <t>EDJAN BARBOSA PINO PRADO DE LIMA</t>
  </si>
  <si>
    <t>147.438.348-30</t>
  </si>
  <si>
    <t>SOCIEDADE BENF ISRAELITABRAS HOSPITAL ALBERT EINSTEIN</t>
  </si>
  <si>
    <t>60.765.823/0001-30</t>
  </si>
  <si>
    <t>POLAR ELECTRO BRASIL COM, DISTR,IMPORT E EXPORT LTDA</t>
  </si>
  <si>
    <t>24.479.880/0001-99</t>
  </si>
  <si>
    <t>IUGU SERVIÇOS DE INTERNET S.A</t>
  </si>
  <si>
    <t>REDE DÓR SAO LUIZ SERVICOS MEDICOS LTDA</t>
  </si>
  <si>
    <t>14.017.359/0002-67</t>
  </si>
  <si>
    <t>ALLIANZ SEGUROS S/A</t>
  </si>
  <si>
    <t>61.573.796/0001-66</t>
  </si>
  <si>
    <t>TARSO R. DA SILVA ARTIGOS ESPORTIVOS</t>
  </si>
  <si>
    <t>05.299.830/0001-85</t>
  </si>
  <si>
    <t>REI DO SONO</t>
  </si>
  <si>
    <t>ERIKA MARIA MARQUES NEVES</t>
  </si>
  <si>
    <t>32.670.830/0001-12</t>
  </si>
  <si>
    <t>CONDOMINIO DO EDIFICIO GAETANO SEGRETO</t>
  </si>
  <si>
    <t>40.230.849/0001-76</t>
  </si>
  <si>
    <t>FAST SHOP S.A</t>
  </si>
  <si>
    <t>43.708.379/0001-00</t>
  </si>
  <si>
    <t>FELIPE AUGUSTO ALVARES LIMA CLIMATIZACAO</t>
  </si>
  <si>
    <t>30.853.508/0001-01</t>
  </si>
  <si>
    <t>FOGOSUL PROTECAO CONTRA INCENDIO LTDA ME</t>
  </si>
  <si>
    <t>59.505.149/0001-75</t>
  </si>
  <si>
    <t>HUMANPIXELS OUTSOURCING LTDA</t>
  </si>
  <si>
    <t>13.758.045/0001-71</t>
  </si>
  <si>
    <t>4 BIO MEDICAMENTO S.A</t>
  </si>
  <si>
    <t>07.015.691/0001-46</t>
  </si>
  <si>
    <t>CEMA HOSPITAL ESPECIALIZADO LTDA</t>
  </si>
  <si>
    <t>47.192.752/0001-65</t>
  </si>
  <si>
    <t>ANDERSON RAMOS ME</t>
  </si>
  <si>
    <t>ALBION DISTRIBUIDORA E COMERCIO DE AGUA LTDA</t>
  </si>
  <si>
    <t>57.313.447/0001-38</t>
  </si>
  <si>
    <t>PREMIUM SERVIÇOS MEDICOS LTDA</t>
  </si>
  <si>
    <t>25.132.280/0001-12</t>
  </si>
  <si>
    <t>CARLA APARECIDA ROQUE</t>
  </si>
  <si>
    <t>32.914.678/0001-76</t>
  </si>
  <si>
    <t>MULTI TROFEUS - TROFEUS E MEDALHAS LTDA</t>
  </si>
  <si>
    <t>09.498.341/0001-03</t>
  </si>
  <si>
    <t>CR DIAGNOSTICOS MEDICOS LTDA</t>
  </si>
  <si>
    <t>16.985.840/0006-03</t>
  </si>
  <si>
    <t>COSTA CARVALHO PRINT COMUNICACAO VISUAL LTDA</t>
  </si>
  <si>
    <t>32.826.025/0001-35</t>
  </si>
  <si>
    <t>ACLA COMERCIO DE ALIMENTOS LTDA</t>
  </si>
  <si>
    <t>24.996.012/0001-86</t>
  </si>
  <si>
    <t>EO7 AUDITORES INDEPENDENTES LTDA</t>
  </si>
  <si>
    <t>33.152.392/0001-63</t>
  </si>
  <si>
    <t>ESTETICA AUTOMOTIVA BEST FILMS LTDA</t>
  </si>
  <si>
    <t>03.490.997/0001-01</t>
  </si>
  <si>
    <t>UP CAR CENTRO AUTOMOTIVO E COMERCIO DE PECAS LTDA</t>
  </si>
  <si>
    <t>06.934.943/0001-78</t>
  </si>
  <si>
    <t>n/i</t>
  </si>
  <si>
    <t>Objeto</t>
  </si>
  <si>
    <t>Agência de viagens</t>
  </si>
  <si>
    <t xml:space="preserve">Alimentação atletas </t>
  </si>
  <si>
    <t>Casa de câmbio</t>
  </si>
  <si>
    <t>Aluguel sede</t>
  </si>
  <si>
    <t>Taxi</t>
  </si>
  <si>
    <t>Telefonia CT</t>
  </si>
  <si>
    <t>Aluguel casa atletas</t>
  </si>
  <si>
    <t>Limpeza CT e casas</t>
  </si>
  <si>
    <t>Materiais esportivos</t>
  </si>
  <si>
    <t>Exames COVID</t>
  </si>
  <si>
    <t>Assessoria RH e cont.</t>
  </si>
  <si>
    <t>Computadores CT</t>
  </si>
  <si>
    <t>Água casas atletas</t>
  </si>
  <si>
    <t>Reformas gerais</t>
  </si>
  <si>
    <t>Materiais de reforma</t>
  </si>
  <si>
    <t>Ambulância Campeonato</t>
  </si>
  <si>
    <t>Exames médicos atletas</t>
  </si>
  <si>
    <t>Fretes</t>
  </si>
  <si>
    <t>Telefonia casas atletas</t>
  </si>
  <si>
    <t>Auditoria independente</t>
  </si>
  <si>
    <t>Insumos de alimento</t>
  </si>
  <si>
    <t>Café e outros insumos</t>
  </si>
  <si>
    <t>Oficina mecânica</t>
  </si>
  <si>
    <t>Publicações oficiais</t>
  </si>
  <si>
    <t>Banner oficial</t>
  </si>
  <si>
    <t>Luz casas atletas</t>
  </si>
  <si>
    <t>Trofeus Camp. Brasileiro</t>
  </si>
  <si>
    <t>Serviço de cópia</t>
  </si>
  <si>
    <t>Confecção máscara covid</t>
  </si>
  <si>
    <t>Beliche atletas</t>
  </si>
  <si>
    <t>Suplemento alimentar</t>
  </si>
  <si>
    <t>Taxa condominial</t>
  </si>
  <si>
    <t>Hospedagem internet</t>
  </si>
  <si>
    <t>Materiais diversos</t>
  </si>
  <si>
    <t>Seguro de vida</t>
  </si>
  <si>
    <t>Correios</t>
  </si>
  <si>
    <t xml:space="preserve">Remédios </t>
  </si>
  <si>
    <t>Manut. Extintores</t>
  </si>
  <si>
    <t>Eleição eletrônica atlts.</t>
  </si>
  <si>
    <t>Reparo ar condicionado</t>
  </si>
  <si>
    <t>Água camp. Brasileiro</t>
  </si>
  <si>
    <t>Cartório</t>
  </si>
  <si>
    <t>Postagem correios</t>
  </si>
  <si>
    <t>Eletricista</t>
  </si>
  <si>
    <t>Coroa flores - falec.</t>
  </si>
  <si>
    <t>Telefonia fixa</t>
  </si>
  <si>
    <t>registro marca cbboxe</t>
  </si>
  <si>
    <t>Serviços diversos</t>
  </si>
  <si>
    <t>QUADRO DE DESPESAS GERAIS - 2020 - CONFEDERAÇÃO BRASILEIRA DE BOXE</t>
  </si>
  <si>
    <t xml:space="preserve">EMPREGADOS </t>
  </si>
  <si>
    <t>CARGO</t>
  </si>
  <si>
    <t>Regime legal</t>
  </si>
  <si>
    <t>VIGENCIA</t>
  </si>
  <si>
    <t>VALOR TOTAL</t>
  </si>
  <si>
    <t>OTILIO MANUEL OLIVE TOLEDO</t>
  </si>
  <si>
    <t>COORDENADOR TÉCNICO</t>
  </si>
  <si>
    <t>CLT</t>
  </si>
  <si>
    <t>MAURO JOSE DA SILVA</t>
  </si>
  <si>
    <t>PRESIDENTE</t>
  </si>
  <si>
    <t>Dirigente Estatutário</t>
  </si>
  <si>
    <t>MARCOS CANDIDO BRITO</t>
  </si>
  <si>
    <t>VICE PRESIDENTE</t>
  </si>
  <si>
    <t>MATEUS DOMINGUES ALVES</t>
  </si>
  <si>
    <t>TÉCNICO</t>
  </si>
  <si>
    <t>CARLOS RENATO SORBILE</t>
  </si>
  <si>
    <t>GERENTE</t>
  </si>
  <si>
    <t>FELIPE ROMANO</t>
  </si>
  <si>
    <t>PREPARADOR FÍSICO</t>
  </si>
  <si>
    <t>ALESSANDRA BRITO DE OLIVEIRA</t>
  </si>
  <si>
    <t>COORDENADOR(A) DE CENTRO DE TREINAMENTO</t>
  </si>
  <si>
    <t>CLAUDIO MARCIO AIRES DA SILVA</t>
  </si>
  <si>
    <t>ERICA FERNANDA GONÇALVES OLIVEIRA</t>
  </si>
  <si>
    <t>NUTRICIONISTA</t>
  </si>
  <si>
    <t>FABIO CONRADO COSTA</t>
  </si>
  <si>
    <t>FISIOTERAPEUTA</t>
  </si>
  <si>
    <t>MARISA MARKUNAS</t>
  </si>
  <si>
    <t>PSICÓLOGO (A)</t>
  </si>
  <si>
    <t>AMANDA PUGLIESE RIBEIRO</t>
  </si>
  <si>
    <t>ASSISTENTE ADMINISTRATIVO</t>
  </si>
  <si>
    <t>RAUL FREDERICO TRAETE</t>
  </si>
  <si>
    <t>PATRICIA YUI YAMATE</t>
  </si>
  <si>
    <t>ANALISTA ADMINISTRATIVO</t>
  </si>
  <si>
    <t>AMONIO DE LIMA SILVA</t>
  </si>
  <si>
    <t>LEONARDO COSTA MACEDO</t>
  </si>
  <si>
    <t>VERONICA DE LOURDES DO NASCIMENTO</t>
  </si>
  <si>
    <t>ADVOGADO (A)</t>
  </si>
  <si>
    <t>Autônomo</t>
  </si>
  <si>
    <t>JOÃO CARLOS SOARES MARTINS</t>
  </si>
  <si>
    <t>MASSOTERAPEUTA</t>
  </si>
  <si>
    <t>CLAUDINEI RODRIGUES</t>
  </si>
  <si>
    <t>AUXILIAR DE SERVIÇOS GERAIS</t>
  </si>
  <si>
    <t>CASSIANA HERMANN PISANELLI</t>
  </si>
  <si>
    <t>MEDICA</t>
  </si>
  <si>
    <t>01/06/2020 - 31/12/2020</t>
  </si>
  <si>
    <t>ROBERTO DANTAS DE SOUZA</t>
  </si>
  <si>
    <t>AUXILIAR ADMINISTRATIVO</t>
  </si>
  <si>
    <t>18/05/2020 - 31/2/2020</t>
  </si>
  <si>
    <t>MARCOS FONSECA LAMAS</t>
  </si>
  <si>
    <t>ASSISTENTE TÉCNICO</t>
  </si>
  <si>
    <t>01/02/2020 -31/12/2020</t>
  </si>
  <si>
    <t>DESPESAS COM FOLHA - ATLETAS 2020</t>
  </si>
  <si>
    <t xml:space="preserve">NOME </t>
  </si>
  <si>
    <t>BEATRIZ IASMIM SOARES FERREIRA</t>
  </si>
  <si>
    <t>HEBERT WILIAN CARVALHO DA CONCEICAO SOUSA</t>
  </si>
  <si>
    <t>KENO MARLEY MACHADO</t>
  </si>
  <si>
    <t>FLAVIA TEREZA FIGUEIREDO</t>
  </si>
  <si>
    <t>GRAZIELE JESUS DE SOUSA</t>
  </si>
  <si>
    <t>JUCIELEN CERQUEIRA ROMEU</t>
  </si>
  <si>
    <t>LUIZ GABRIEL DO NASCIMENTO CHALOT DE OLIVEIRA</t>
  </si>
  <si>
    <t>ABNER TEIXEIRA DA SILVA JUNIOR</t>
  </si>
  <si>
    <t>COSME HENRIQUE DOS SANTOS NASCIMENTO</t>
  </si>
  <si>
    <t>REBECA DE LIMA SANTOS</t>
  </si>
  <si>
    <t>WANDERSON DE OLIVEIRA</t>
  </si>
  <si>
    <t>CARLOS ANDRÉ DOS SANTOS ROCHA</t>
  </si>
  <si>
    <t>LUIZ FERNANDO RODRIGUES DA SILVA</t>
  </si>
  <si>
    <t>BEATRIZ GABRIELLE GOMES OLIVEIRA SOARES</t>
  </si>
  <si>
    <t>CLELIA MARQUES DA COSTA</t>
  </si>
  <si>
    <t>JOEL RAMOS DA SILVA</t>
  </si>
  <si>
    <t>EDSON ARAUJO DE JESUS</t>
  </si>
  <si>
    <t>KALIL LUAN BRASIL PAIVA</t>
  </si>
  <si>
    <t>NICOLLAS LEONEL ROCHA DE JESUS</t>
  </si>
  <si>
    <t>GLEISIELE PEREIRA GOMES</t>
  </si>
  <si>
    <t>BARBARA MARIA DOS SANTOS</t>
  </si>
  <si>
    <t>01/09/2020 - 31/12/2020</t>
  </si>
  <si>
    <t>ISAIAS SANTOS RIBEIRO FILHO</t>
  </si>
  <si>
    <t>MARCOS VINICIUS R. DE BARROS</t>
  </si>
  <si>
    <t>PATRICK CHAGAS VALÉRIO LOURENÇO</t>
  </si>
  <si>
    <t>RONALDO BEZERRA DA SILVA</t>
  </si>
  <si>
    <t>VIVIANE DOS SANTOS PEREIRA</t>
  </si>
  <si>
    <t>VALOR MENSAL</t>
  </si>
  <si>
    <t>VÍNCULO</t>
  </si>
  <si>
    <t xml:space="preserve">Contrato </t>
  </si>
  <si>
    <t>Nome</t>
  </si>
  <si>
    <t>Função exercida</t>
  </si>
  <si>
    <t>Valor bruto</t>
  </si>
  <si>
    <t>Médico</t>
  </si>
  <si>
    <t>JOAO ROCHA DE PAULA</t>
  </si>
  <si>
    <t>Árbitro</t>
  </si>
  <si>
    <t>ERNESTO JOSE DE MORAIS JUNIOR</t>
  </si>
  <si>
    <t>Com. Discipl.</t>
  </si>
  <si>
    <t>ANTONIO JOSE DA PAZ JUNIOR</t>
  </si>
  <si>
    <t>BRUNO MENDES TEIXEIRA</t>
  </si>
  <si>
    <t>EDSON SOUZA MENDES</t>
  </si>
  <si>
    <t>GENIVAL GUERRA GOMES</t>
  </si>
  <si>
    <t>JOSÉ LUIZ HOLANDA CORTES</t>
  </si>
  <si>
    <t>JOSEMAR RODRIGUES DA COSTA</t>
  </si>
  <si>
    <t>LEONARDO RODRIGUES ROCHA DE PAULA</t>
  </si>
  <si>
    <t>MARCELA PATRICIA PAULA SOUZA</t>
  </si>
  <si>
    <t>MICHELLE BURIGO PAULO</t>
  </si>
  <si>
    <t>SIRLEI VIEIRA GUSMAO</t>
  </si>
  <si>
    <t>WOBSON WILKISON DE OLIVEIRA</t>
  </si>
  <si>
    <t>AILTON CARDOSO DA SILVA</t>
  </si>
  <si>
    <t>IGOR ALEXANDRE ROMANO</t>
  </si>
  <si>
    <t>PATRICIA FERREIRA CHAVES</t>
  </si>
  <si>
    <t>PATRICIA RIVAROTTO SECUNDINO</t>
  </si>
  <si>
    <t>RAUL FERNANDES DE OLIVEIRA</t>
  </si>
  <si>
    <t>WILSON ANTONIO PIEDADE</t>
  </si>
  <si>
    <t>Evento</t>
  </si>
  <si>
    <t xml:space="preserve">Contratação </t>
  </si>
  <si>
    <t>Camp. Brasileiro</t>
  </si>
  <si>
    <t>Pontual</t>
  </si>
  <si>
    <t>DESPESAS DE PESSOAL COM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</si>
</sst>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3" fillId="0" borderId="3" xfId="0" applyFont="1" applyBorder="1"/>
    <xf numFmtId="164" fontId="0" fillId="0" borderId="3" xfId="0" applyNumberFormat="1" applyBorder="1"/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3" xfId="0" applyBorder="1"/>
    <xf numFmtId="164" fontId="0" fillId="0" borderId="1" xfId="0" applyNumberFormat="1" applyBorder="1"/>
    <xf numFmtId="164" fontId="4" fillId="0" borderId="3" xfId="0" applyNumberFormat="1" applyFont="1" applyBorder="1"/>
    <xf numFmtId="164" fontId="0" fillId="0" borderId="2" xfId="0" applyNumberFormat="1" applyBorder="1"/>
    <xf numFmtId="0" fontId="5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165" fontId="0" fillId="0" borderId="1" xfId="0" applyNumberFormat="1" applyBorder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165" fontId="0" fillId="0" borderId="2" xfId="0" applyNumberFormat="1" applyBorder="1"/>
    <xf numFmtId="0" fontId="10" fillId="0" borderId="3" xfId="0" applyFont="1" applyBorder="1" applyAlignment="1">
      <alignment horizontal="center"/>
    </xf>
    <xf numFmtId="4" fontId="0" fillId="0" borderId="3" xfId="0" applyNumberFormat="1" applyBorder="1"/>
    <xf numFmtId="0" fontId="10" fillId="0" borderId="3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/>
    <xf numFmtId="165" fontId="0" fillId="0" borderId="12" xfId="0" applyNumberFormat="1" applyBorder="1"/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/>
    <xf numFmtId="165" fontId="0" fillId="0" borderId="15" xfId="0" applyNumberFormat="1" applyBorder="1"/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7" xfId="0" applyFont="1" applyBorder="1"/>
    <xf numFmtId="165" fontId="0" fillId="0" borderId="18" xfId="0" applyNumberFormat="1" applyBorder="1"/>
    <xf numFmtId="0" fontId="12" fillId="0" borderId="19" xfId="0" applyFont="1" applyBorder="1" applyAlignment="1">
      <alignment vertical="center"/>
    </xf>
    <xf numFmtId="0" fontId="13" fillId="0" borderId="19" xfId="0" applyFont="1" applyBorder="1"/>
    <xf numFmtId="40" fontId="14" fillId="0" borderId="19" xfId="0" applyNumberFormat="1" applyFont="1" applyBorder="1" applyAlignment="1">
      <alignment horizontal="center" vertical="center"/>
    </xf>
    <xf numFmtId="0" fontId="12" fillId="0" borderId="19" xfId="0" applyFont="1" applyBorder="1"/>
    <xf numFmtId="4" fontId="13" fillId="0" borderId="2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" fontId="0" fillId="0" borderId="0" xfId="0" applyNumberFormat="1" applyBorder="1"/>
    <xf numFmtId="4" fontId="0" fillId="0" borderId="0" xfId="0" applyNumberFormat="1"/>
    <xf numFmtId="164" fontId="0" fillId="0" borderId="0" xfId="0" applyNumberFormat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44" fontId="1" fillId="2" borderId="3" xfId="1" applyFont="1" applyFill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44" fontId="3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/>
    <xf numFmtId="0" fontId="11" fillId="4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50"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7CE6-8120-4E01-9BC7-53FB350892E0}">
  <dimension ref="A1:E164"/>
  <sheetViews>
    <sheetView tabSelected="1" topLeftCell="A10" workbookViewId="0">
      <selection activeCell="A102" sqref="A102"/>
    </sheetView>
  </sheetViews>
  <sheetFormatPr defaultRowHeight="15" x14ac:dyDescent="0.25"/>
  <cols>
    <col min="1" max="1" width="66.7109375" bestFit="1" customWidth="1"/>
    <col min="2" max="2" width="44" style="13" bestFit="1" customWidth="1"/>
    <col min="3" max="3" width="21.28515625" style="13" customWidth="1"/>
    <col min="4" max="4" width="21.28515625" bestFit="1" customWidth="1"/>
    <col min="5" max="5" width="19.42578125" bestFit="1" customWidth="1"/>
  </cols>
  <sheetData>
    <row r="1" spans="1:5" x14ac:dyDescent="0.25">
      <c r="A1" s="92" t="s">
        <v>210</v>
      </c>
      <c r="B1" s="92"/>
      <c r="C1" s="92"/>
      <c r="D1" s="92"/>
      <c r="E1" s="92"/>
    </row>
    <row r="2" spans="1:5" x14ac:dyDescent="0.25">
      <c r="A2" s="31" t="s">
        <v>0</v>
      </c>
      <c r="B2" s="31" t="s">
        <v>1</v>
      </c>
      <c r="C2" s="31" t="s">
        <v>161</v>
      </c>
      <c r="D2" s="31" t="s">
        <v>2</v>
      </c>
      <c r="E2" s="31" t="s">
        <v>3</v>
      </c>
    </row>
    <row r="3" spans="1:5" x14ac:dyDescent="0.25">
      <c r="A3" s="1" t="s">
        <v>4</v>
      </c>
      <c r="B3" s="22" t="s">
        <v>5</v>
      </c>
      <c r="C3" s="22" t="s">
        <v>162</v>
      </c>
      <c r="D3" s="1" t="s">
        <v>6</v>
      </c>
      <c r="E3" s="2">
        <f>5304.46+595.13+2600.02+11008.55+35474+7766+577.21+11008.55+577.21+2080.01+6046+24282.38+1010+3282.71+106694.01+20828.6+4662.72+4800+7473.99+0.02+8922.16+6470.02+9985.66+7770.34+1460.53+4410.03+301697.05+3061.54+0.03+9900.01+13265.02+9370.04+35917.07+1200.01+1999.76+2809.92+5084.11+21864.82+73775.88+4835.37+14547.11+389725.09+3356.58+30550.49+650.82</f>
        <v>1218701.0300000003</v>
      </c>
    </row>
    <row r="4" spans="1:5" x14ac:dyDescent="0.25">
      <c r="A4" s="3" t="s">
        <v>15</v>
      </c>
      <c r="B4" s="23" t="s">
        <v>16</v>
      </c>
      <c r="C4" s="23" t="s">
        <v>163</v>
      </c>
      <c r="D4" s="1" t="s">
        <v>6</v>
      </c>
      <c r="E4" s="2">
        <f>30298.8+24164+24795.4+20267.8+2097.2+42343+46661.31+10905.3+19155.04</f>
        <v>220687.85</v>
      </c>
    </row>
    <row r="5" spans="1:5" x14ac:dyDescent="0.25">
      <c r="A5" s="4" t="s">
        <v>35</v>
      </c>
      <c r="B5" s="22" t="s">
        <v>36</v>
      </c>
      <c r="C5" s="22" t="s">
        <v>164</v>
      </c>
      <c r="D5" s="1" t="s">
        <v>6</v>
      </c>
      <c r="E5" s="2">
        <f>186007.04+538.66+1367.69+2885.85+15029.4+5316.77</f>
        <v>211145.41</v>
      </c>
    </row>
    <row r="6" spans="1:5" x14ac:dyDescent="0.25">
      <c r="A6" s="4" t="s">
        <v>43</v>
      </c>
      <c r="B6" s="22" t="s">
        <v>44</v>
      </c>
      <c r="C6" s="22" t="s">
        <v>165</v>
      </c>
      <c r="D6" s="1" t="s">
        <v>6</v>
      </c>
      <c r="E6" s="2">
        <f>3300*5+771.25*4+3300*2+771.2*6+3541.23*5</f>
        <v>48518.350000000006</v>
      </c>
    </row>
    <row r="7" spans="1:5" x14ac:dyDescent="0.25">
      <c r="A7" s="1" t="s">
        <v>31</v>
      </c>
      <c r="B7" s="23" t="s">
        <v>32</v>
      </c>
      <c r="C7" s="23" t="s">
        <v>166</v>
      </c>
      <c r="D7" s="1" t="s">
        <v>6</v>
      </c>
      <c r="E7" s="2">
        <f>4920.02+5071.24+2994.31+374+58.7+918.2+7868.84+1866.35+3747.57+4127.44+3713.18+8509.72</f>
        <v>44169.57</v>
      </c>
    </row>
    <row r="8" spans="1:5" x14ac:dyDescent="0.25">
      <c r="A8" s="3" t="s">
        <v>71</v>
      </c>
      <c r="B8" s="24" t="s">
        <v>72</v>
      </c>
      <c r="C8" s="24" t="s">
        <v>167</v>
      </c>
      <c r="D8" s="1" t="s">
        <v>6</v>
      </c>
      <c r="E8" s="16">
        <f>3955.56+1729.25+2441.3+4894.52+3075.95+2994.49+2981.09+2396.67+586.79+2537.73+586.79+2693.4+599.1+2636.55+587.57+8222.91</f>
        <v>42919.67</v>
      </c>
    </row>
    <row r="9" spans="1:5" x14ac:dyDescent="0.25">
      <c r="A9" s="1" t="s">
        <v>7</v>
      </c>
      <c r="B9" s="23" t="s">
        <v>8</v>
      </c>
      <c r="C9" s="23" t="s">
        <v>168</v>
      </c>
      <c r="D9" s="1" t="s">
        <v>6</v>
      </c>
      <c r="E9" s="2">
        <f>2751.84*2+308.32+3052.24+308.32+2751.84+308.32+2915.84+308.32+2915.84+308.32+2915.84*6+308.32*5+2915.84</f>
        <v>40633.520000000004</v>
      </c>
    </row>
    <row r="10" spans="1:5" x14ac:dyDescent="0.25">
      <c r="A10" s="4" t="s">
        <v>33</v>
      </c>
      <c r="B10" s="25" t="s">
        <v>34</v>
      </c>
      <c r="C10" s="25" t="s">
        <v>169</v>
      </c>
      <c r="D10" s="1" t="s">
        <v>6</v>
      </c>
      <c r="E10" s="2">
        <f>2372.66*7+2214.49+8366.19+2831.46+5949.22+3197.74</f>
        <v>39167.72</v>
      </c>
    </row>
    <row r="11" spans="1:5" x14ac:dyDescent="0.25">
      <c r="A11" s="1" t="s">
        <v>9</v>
      </c>
      <c r="B11" s="23" t="s">
        <v>10</v>
      </c>
      <c r="C11" s="23" t="s">
        <v>168</v>
      </c>
      <c r="D11" s="1" t="s">
        <v>6</v>
      </c>
      <c r="E11" s="2">
        <f>2840.7+238.1+2840.7+238.1+2840.7+238.1+2840.7+238.1+3006.65*7+133.8+238.1*5+3006.65</f>
        <v>37692.700000000004</v>
      </c>
    </row>
    <row r="12" spans="1:5" x14ac:dyDescent="0.25">
      <c r="A12" s="1" t="s">
        <v>11</v>
      </c>
      <c r="B12" s="23" t="s">
        <v>12</v>
      </c>
      <c r="C12" s="23" t="s">
        <v>168</v>
      </c>
      <c r="D12" s="1" t="s">
        <v>6</v>
      </c>
      <c r="E12" s="2">
        <f>2956.69*6+157.88*6+2853.2+157.88+3060.18+157.88+2956.69+157.88+2956.69+157.88+2956.69+3589.4</f>
        <v>37691.79</v>
      </c>
    </row>
    <row r="13" spans="1:5" x14ac:dyDescent="0.25">
      <c r="A13" s="3" t="s">
        <v>120</v>
      </c>
      <c r="B13" s="24" t="s">
        <v>121</v>
      </c>
      <c r="C13" s="24" t="s">
        <v>170</v>
      </c>
      <c r="D13" s="1" t="s">
        <v>6</v>
      </c>
      <c r="E13" s="16">
        <f>16330.64+12227.76+8552.8</f>
        <v>37111.199999999997</v>
      </c>
    </row>
    <row r="14" spans="1:5" x14ac:dyDescent="0.25">
      <c r="A14" s="3" t="s">
        <v>111</v>
      </c>
      <c r="B14" s="24" t="s">
        <v>112</v>
      </c>
      <c r="C14" s="24" t="s">
        <v>171</v>
      </c>
      <c r="D14" s="1" t="s">
        <v>6</v>
      </c>
      <c r="E14" s="16">
        <f>9970+15120+250+4360</f>
        <v>29700</v>
      </c>
    </row>
    <row r="15" spans="1:5" x14ac:dyDescent="0.25">
      <c r="A15" s="3" t="s">
        <v>41</v>
      </c>
      <c r="B15" s="26" t="s">
        <v>42</v>
      </c>
      <c r="C15" s="26" t="s">
        <v>172</v>
      </c>
      <c r="D15" s="1" t="s">
        <v>6</v>
      </c>
      <c r="E15" s="2">
        <f>2359.49*4+2513.09*6</f>
        <v>24516.5</v>
      </c>
    </row>
    <row r="16" spans="1:5" x14ac:dyDescent="0.25">
      <c r="A16" s="3" t="s">
        <v>101</v>
      </c>
      <c r="B16" s="24" t="s">
        <v>102</v>
      </c>
      <c r="C16" s="24" t="s">
        <v>173</v>
      </c>
      <c r="D16" s="1" t="s">
        <v>6</v>
      </c>
      <c r="E16" s="16">
        <v>24000</v>
      </c>
    </row>
    <row r="17" spans="1:5" x14ac:dyDescent="0.25">
      <c r="A17" s="1" t="s">
        <v>25</v>
      </c>
      <c r="B17" s="23" t="s">
        <v>26</v>
      </c>
      <c r="C17" s="23" t="s">
        <v>174</v>
      </c>
      <c r="D17" s="1" t="s">
        <v>6</v>
      </c>
      <c r="E17" s="2">
        <f>1212.29+902.22+981.02+926.28+1414.38+813.09+156.41+683.99+1036.71+508.27+823.44+1295.2+1556.66+823.44+1522.98+105.66+2528.39+109.27+703.98+109.27+337.32+109.27+109.27+430.9</f>
        <v>19199.710000000003</v>
      </c>
    </row>
    <row r="18" spans="1:5" ht="26.25" x14ac:dyDescent="0.25">
      <c r="A18" s="14" t="s">
        <v>63</v>
      </c>
      <c r="B18" s="24" t="s">
        <v>64</v>
      </c>
      <c r="C18" s="24" t="s">
        <v>175</v>
      </c>
      <c r="D18" s="1" t="s">
        <v>6</v>
      </c>
      <c r="E18" s="2">
        <f>3500+3400+7300+3500</f>
        <v>17700</v>
      </c>
    </row>
    <row r="19" spans="1:5" x14ac:dyDescent="0.25">
      <c r="A19" s="3" t="s">
        <v>103</v>
      </c>
      <c r="B19" s="24" t="s">
        <v>104</v>
      </c>
      <c r="C19" s="24" t="s">
        <v>171</v>
      </c>
      <c r="D19" s="1" t="s">
        <v>6</v>
      </c>
      <c r="E19" s="16">
        <f>13032+2172</f>
        <v>15204</v>
      </c>
    </row>
    <row r="20" spans="1:5" x14ac:dyDescent="0.25">
      <c r="A20" s="6" t="s">
        <v>45</v>
      </c>
      <c r="B20" s="27" t="s">
        <v>46</v>
      </c>
      <c r="C20" s="27" t="s">
        <v>176</v>
      </c>
      <c r="D20" s="1" t="s">
        <v>6</v>
      </c>
      <c r="E20" s="2">
        <f>7349+3007.5+182.33+2895.5</f>
        <v>13434.33</v>
      </c>
    </row>
    <row r="21" spans="1:5" ht="25.5" x14ac:dyDescent="0.25">
      <c r="A21" s="6" t="s">
        <v>142</v>
      </c>
      <c r="B21" s="28" t="s">
        <v>143</v>
      </c>
      <c r="C21" s="28" t="s">
        <v>177</v>
      </c>
      <c r="D21" s="1" t="s">
        <v>6</v>
      </c>
      <c r="E21" s="16">
        <v>12950</v>
      </c>
    </row>
    <row r="22" spans="1:5" ht="25.5" x14ac:dyDescent="0.25">
      <c r="A22" s="3" t="s">
        <v>69</v>
      </c>
      <c r="B22" s="24" t="s">
        <v>70</v>
      </c>
      <c r="C22" s="24" t="s">
        <v>178</v>
      </c>
      <c r="D22" s="1" t="s">
        <v>6</v>
      </c>
      <c r="E22" s="16">
        <f>9791.38+2350</f>
        <v>12141.38</v>
      </c>
    </row>
    <row r="23" spans="1:5" ht="25.5" x14ac:dyDescent="0.25">
      <c r="A23" s="3" t="s">
        <v>148</v>
      </c>
      <c r="B23" s="24" t="s">
        <v>149</v>
      </c>
      <c r="C23" s="24" t="s">
        <v>178</v>
      </c>
      <c r="D23" s="1" t="s">
        <v>6</v>
      </c>
      <c r="E23" s="16">
        <f>8750+1750</f>
        <v>10500</v>
      </c>
    </row>
    <row r="24" spans="1:5" x14ac:dyDescent="0.25">
      <c r="A24" s="3" t="s">
        <v>67</v>
      </c>
      <c r="B24" s="24" t="s">
        <v>68</v>
      </c>
      <c r="C24" s="24" t="s">
        <v>179</v>
      </c>
      <c r="D24" s="1" t="s">
        <v>6</v>
      </c>
      <c r="E24" s="2">
        <f>1500+8100</f>
        <v>9600</v>
      </c>
    </row>
    <row r="25" spans="1:5" x14ac:dyDescent="0.25">
      <c r="A25" s="4" t="s">
        <v>57</v>
      </c>
      <c r="B25" s="22" t="s">
        <v>58</v>
      </c>
      <c r="C25" s="22" t="s">
        <v>176</v>
      </c>
      <c r="D25" s="1" t="s">
        <v>6</v>
      </c>
      <c r="E25" s="2">
        <f>5404+113.5+2506.4+1275</f>
        <v>9298.9</v>
      </c>
    </row>
    <row r="26" spans="1:5" x14ac:dyDescent="0.25">
      <c r="A26" s="1" t="s">
        <v>13</v>
      </c>
      <c r="B26" s="23" t="s">
        <v>14</v>
      </c>
      <c r="C26" s="23" t="s">
        <v>180</v>
      </c>
      <c r="D26" s="1" t="s">
        <v>6</v>
      </c>
      <c r="E26" s="2">
        <f>534.06+136.97+431.87+534.06+462.97+550.08+939.97+431.87+563.26+545.98+436.96+437.01+865.66+1024.04+997.51</f>
        <v>8892.27</v>
      </c>
    </row>
    <row r="27" spans="1:5" x14ac:dyDescent="0.25">
      <c r="A27" s="3" t="s">
        <v>154</v>
      </c>
      <c r="B27" s="24" t="s">
        <v>155</v>
      </c>
      <c r="C27" s="24" t="s">
        <v>181</v>
      </c>
      <c r="D27" s="1" t="s">
        <v>6</v>
      </c>
      <c r="E27" s="16">
        <v>7900</v>
      </c>
    </row>
    <row r="28" spans="1:5" x14ac:dyDescent="0.25">
      <c r="A28" s="3" t="s">
        <v>152</v>
      </c>
      <c r="B28" s="24" t="s">
        <v>153</v>
      </c>
      <c r="C28" s="24" t="s">
        <v>182</v>
      </c>
      <c r="D28" s="1" t="s">
        <v>6</v>
      </c>
      <c r="E28" s="16">
        <f>7474.5</f>
        <v>7474.5</v>
      </c>
    </row>
    <row r="29" spans="1:5" x14ac:dyDescent="0.25">
      <c r="A29" s="3" t="s">
        <v>49</v>
      </c>
      <c r="B29" s="26" t="s">
        <v>50</v>
      </c>
      <c r="C29" s="26" t="s">
        <v>183</v>
      </c>
      <c r="D29" s="1" t="s">
        <v>6</v>
      </c>
      <c r="E29" s="2">
        <f>2111.11+1539.07+1355.86+2371.79</f>
        <v>7377.83</v>
      </c>
    </row>
    <row r="30" spans="1:5" x14ac:dyDescent="0.25">
      <c r="A30" s="3" t="s">
        <v>158</v>
      </c>
      <c r="B30" s="24" t="s">
        <v>159</v>
      </c>
      <c r="C30" s="24" t="s">
        <v>184</v>
      </c>
      <c r="D30" s="1" t="s">
        <v>6</v>
      </c>
      <c r="E30" s="16">
        <f>6982.18</f>
        <v>6982.18</v>
      </c>
    </row>
    <row r="31" spans="1:5" x14ac:dyDescent="0.25">
      <c r="A31" s="4" t="s">
        <v>39</v>
      </c>
      <c r="B31" s="22" t="s">
        <v>40</v>
      </c>
      <c r="C31" s="22" t="s">
        <v>185</v>
      </c>
      <c r="D31" s="1" t="s">
        <v>6</v>
      </c>
      <c r="E31" s="2">
        <f>4190+2015</f>
        <v>6205</v>
      </c>
    </row>
    <row r="32" spans="1:5" x14ac:dyDescent="0.25">
      <c r="A32" s="3" t="s">
        <v>150</v>
      </c>
      <c r="B32" s="24" t="s">
        <v>151</v>
      </c>
      <c r="C32" s="24" t="s">
        <v>186</v>
      </c>
      <c r="D32" s="1" t="s">
        <v>6</v>
      </c>
      <c r="E32" s="16">
        <f>6000</f>
        <v>6000</v>
      </c>
    </row>
    <row r="33" spans="1:5" x14ac:dyDescent="0.25">
      <c r="A33" s="3" t="s">
        <v>113</v>
      </c>
      <c r="B33" s="24" t="s">
        <v>114</v>
      </c>
      <c r="C33" s="28" t="s">
        <v>170</v>
      </c>
      <c r="D33" s="1" t="s">
        <v>6</v>
      </c>
      <c r="E33" s="16">
        <f>5850</f>
        <v>5850</v>
      </c>
    </row>
    <row r="34" spans="1:5" x14ac:dyDescent="0.25">
      <c r="A34" s="1" t="s">
        <v>17</v>
      </c>
      <c r="B34" s="43" t="s">
        <v>18</v>
      </c>
      <c r="C34" s="29" t="s">
        <v>187</v>
      </c>
      <c r="D34" s="20" t="s">
        <v>6</v>
      </c>
      <c r="E34" s="2">
        <f>253.13+208.75+237.56+546.31+161.67+254.23+296.33+333.8+73.49+457.06+22.94+114.29+12.44+104.69+81.61+126.24+681.1+214.84+655.97+148.62+158.6+323.33</f>
        <v>5467</v>
      </c>
    </row>
    <row r="35" spans="1:5" ht="25.5" x14ac:dyDescent="0.25">
      <c r="A35" s="3" t="s">
        <v>146</v>
      </c>
      <c r="B35" s="44" t="s">
        <v>147</v>
      </c>
      <c r="C35" s="12" t="s">
        <v>188</v>
      </c>
      <c r="D35" s="20" t="s">
        <v>6</v>
      </c>
      <c r="E35" s="16">
        <f>2520+2520</f>
        <v>5040</v>
      </c>
    </row>
    <row r="36" spans="1:5" ht="25.5" x14ac:dyDescent="0.25">
      <c r="A36" s="3" t="s">
        <v>116</v>
      </c>
      <c r="B36" s="44" t="s">
        <v>117</v>
      </c>
      <c r="C36" s="12" t="s">
        <v>178</v>
      </c>
      <c r="D36" s="20" t="s">
        <v>6</v>
      </c>
      <c r="E36" s="16">
        <f>3733.39+1050.41</f>
        <v>4783.8</v>
      </c>
    </row>
    <row r="37" spans="1:5" x14ac:dyDescent="0.25">
      <c r="A37" s="6" t="s">
        <v>85</v>
      </c>
      <c r="B37" s="45" t="s">
        <v>86</v>
      </c>
      <c r="C37" s="12" t="s">
        <v>163</v>
      </c>
      <c r="D37" s="20" t="s">
        <v>6</v>
      </c>
      <c r="E37" s="16">
        <f>4609.5</f>
        <v>4609.5</v>
      </c>
    </row>
    <row r="38" spans="1:5" x14ac:dyDescent="0.25">
      <c r="A38" s="7" t="s">
        <v>95</v>
      </c>
      <c r="B38" s="19" t="s">
        <v>96</v>
      </c>
      <c r="C38" s="12" t="s">
        <v>184</v>
      </c>
      <c r="D38" s="20" t="s">
        <v>6</v>
      </c>
      <c r="E38" s="16">
        <v>4181.59</v>
      </c>
    </row>
    <row r="39" spans="1:5" x14ac:dyDescent="0.25">
      <c r="A39" s="10" t="s">
        <v>19</v>
      </c>
      <c r="B39" s="46" t="s">
        <v>20</v>
      </c>
      <c r="C39" s="29" t="s">
        <v>189</v>
      </c>
      <c r="D39" s="20" t="s">
        <v>6</v>
      </c>
      <c r="E39" s="2">
        <f>755.1+1350+1367.7+220.8+69.7+306.3</f>
        <v>4069.6000000000004</v>
      </c>
    </row>
    <row r="40" spans="1:5" x14ac:dyDescent="0.25">
      <c r="A40" s="15" t="s">
        <v>37</v>
      </c>
      <c r="B40" s="47" t="s">
        <v>38</v>
      </c>
      <c r="C40" s="30" t="s">
        <v>176</v>
      </c>
      <c r="D40" s="20" t="s">
        <v>6</v>
      </c>
      <c r="E40" s="2">
        <f>512.5+1881+1296.99+271</f>
        <v>3961.49</v>
      </c>
    </row>
    <row r="41" spans="1:5" ht="25.5" x14ac:dyDescent="0.25">
      <c r="A41" s="7" t="s">
        <v>105</v>
      </c>
      <c r="B41" s="19" t="s">
        <v>106</v>
      </c>
      <c r="C41" s="12" t="s">
        <v>190</v>
      </c>
      <c r="D41" s="20" t="s">
        <v>6</v>
      </c>
      <c r="E41" s="16">
        <f>3950</f>
        <v>3950</v>
      </c>
    </row>
    <row r="42" spans="1:5" x14ac:dyDescent="0.25">
      <c r="A42" s="7" t="s">
        <v>122</v>
      </c>
      <c r="B42" s="19" t="s">
        <v>160</v>
      </c>
      <c r="C42" s="12" t="s">
        <v>191</v>
      </c>
      <c r="D42" s="20" t="s">
        <v>6</v>
      </c>
      <c r="E42" s="16">
        <f>3900</f>
        <v>3900</v>
      </c>
    </row>
    <row r="43" spans="1:5" x14ac:dyDescent="0.25">
      <c r="A43" s="7" t="s">
        <v>61</v>
      </c>
      <c r="B43" s="19" t="s">
        <v>62</v>
      </c>
      <c r="C43" s="12" t="s">
        <v>192</v>
      </c>
      <c r="D43" s="20" t="s">
        <v>6</v>
      </c>
      <c r="E43" s="2">
        <f>558.6+295.34+2859.63</f>
        <v>3713.57</v>
      </c>
    </row>
    <row r="44" spans="1:5" x14ac:dyDescent="0.25">
      <c r="A44" s="7" t="s">
        <v>125</v>
      </c>
      <c r="B44" s="19" t="s">
        <v>126</v>
      </c>
      <c r="C44" s="12" t="s">
        <v>193</v>
      </c>
      <c r="D44" s="20" t="s">
        <v>6</v>
      </c>
      <c r="E44" s="16">
        <f>893.26+1053.86+1126.86</f>
        <v>3073.9799999999996</v>
      </c>
    </row>
    <row r="45" spans="1:5" x14ac:dyDescent="0.25">
      <c r="A45" s="8" t="s">
        <v>53</v>
      </c>
      <c r="B45" s="47" t="s">
        <v>54</v>
      </c>
      <c r="C45" s="30" t="s">
        <v>192</v>
      </c>
      <c r="D45" s="20" t="s">
        <v>6</v>
      </c>
      <c r="E45" s="2">
        <f>2909.44</f>
        <v>2909.44</v>
      </c>
    </row>
    <row r="46" spans="1:5" x14ac:dyDescent="0.25">
      <c r="A46" s="7" t="s">
        <v>144</v>
      </c>
      <c r="B46" s="19" t="s">
        <v>145</v>
      </c>
      <c r="C46" s="12" t="s">
        <v>195</v>
      </c>
      <c r="D46" s="20" t="s">
        <v>6</v>
      </c>
      <c r="E46" s="16">
        <v>2800</v>
      </c>
    </row>
    <row r="47" spans="1:5" x14ac:dyDescent="0.25">
      <c r="A47" s="8" t="s">
        <v>55</v>
      </c>
      <c r="B47" s="47" t="s">
        <v>56</v>
      </c>
      <c r="C47" s="12" t="s">
        <v>195</v>
      </c>
      <c r="D47" s="20" t="s">
        <v>6</v>
      </c>
      <c r="E47" s="2">
        <f>2580</f>
        <v>2580</v>
      </c>
    </row>
    <row r="48" spans="1:5" x14ac:dyDescent="0.25">
      <c r="A48" s="8" t="s">
        <v>59</v>
      </c>
      <c r="B48" s="47" t="s">
        <v>60</v>
      </c>
      <c r="C48" s="30" t="s">
        <v>178</v>
      </c>
      <c r="D48" s="20" t="s">
        <v>6</v>
      </c>
      <c r="E48" s="2">
        <f>477+477+516.15+954</f>
        <v>2424.15</v>
      </c>
    </row>
    <row r="49" spans="1:5" x14ac:dyDescent="0.25">
      <c r="A49" s="7" t="s">
        <v>135</v>
      </c>
      <c r="B49" s="19" t="s">
        <v>136</v>
      </c>
      <c r="C49" s="12" t="s">
        <v>198</v>
      </c>
      <c r="D49" s="20" t="s">
        <v>6</v>
      </c>
      <c r="E49" s="16">
        <v>2415</v>
      </c>
    </row>
    <row r="50" spans="1:5" x14ac:dyDescent="0.25">
      <c r="A50" s="9" t="s">
        <v>123</v>
      </c>
      <c r="B50" s="48" t="s">
        <v>124</v>
      </c>
      <c r="C50" s="12" t="s">
        <v>195</v>
      </c>
      <c r="D50" s="21" t="s">
        <v>6</v>
      </c>
      <c r="E50" s="18">
        <v>2370</v>
      </c>
    </row>
    <row r="51" spans="1:5" x14ac:dyDescent="0.25">
      <c r="A51" s="7" t="s">
        <v>65</v>
      </c>
      <c r="B51" s="12" t="s">
        <v>66</v>
      </c>
      <c r="C51" s="12" t="s">
        <v>195</v>
      </c>
      <c r="D51" s="10" t="s">
        <v>6</v>
      </c>
      <c r="E51" s="17">
        <v>2240.3000000000002</v>
      </c>
    </row>
    <row r="52" spans="1:5" x14ac:dyDescent="0.25">
      <c r="A52" s="10" t="s">
        <v>27</v>
      </c>
      <c r="B52" s="29" t="s">
        <v>28</v>
      </c>
      <c r="C52" s="29" t="s">
        <v>197</v>
      </c>
      <c r="D52" s="10" t="s">
        <v>6</v>
      </c>
      <c r="E52" s="17">
        <f>399.45+200+557.5+187.75+155.8+99.5+255.6+116.7+83.8+154.9</f>
        <v>2211</v>
      </c>
    </row>
    <row r="53" spans="1:5" x14ac:dyDescent="0.25">
      <c r="A53" s="7" t="s">
        <v>118</v>
      </c>
      <c r="B53" s="12" t="s">
        <v>119</v>
      </c>
      <c r="C53" s="12" t="s">
        <v>196</v>
      </c>
      <c r="D53" s="10" t="s">
        <v>6</v>
      </c>
      <c r="E53" s="11">
        <f>396.8+386.88+386.88+446.4+426.56</f>
        <v>2043.52</v>
      </c>
    </row>
    <row r="54" spans="1:5" x14ac:dyDescent="0.25">
      <c r="A54" s="7" t="s">
        <v>77</v>
      </c>
      <c r="B54" s="12" t="s">
        <v>78</v>
      </c>
      <c r="C54" s="12" t="s">
        <v>195</v>
      </c>
      <c r="D54" s="10" t="s">
        <v>6</v>
      </c>
      <c r="E54" s="11">
        <v>1900</v>
      </c>
    </row>
    <row r="55" spans="1:5" x14ac:dyDescent="0.25">
      <c r="A55" s="7" t="s">
        <v>127</v>
      </c>
      <c r="B55" s="12" t="s">
        <v>128</v>
      </c>
      <c r="C55" s="12" t="s">
        <v>195</v>
      </c>
      <c r="D55" s="10" t="s">
        <v>6</v>
      </c>
      <c r="E55" s="11">
        <v>1693.4</v>
      </c>
    </row>
    <row r="56" spans="1:5" x14ac:dyDescent="0.25">
      <c r="A56" s="7" t="s">
        <v>75</v>
      </c>
      <c r="B56" s="12" t="s">
        <v>76</v>
      </c>
      <c r="C56" s="12" t="s">
        <v>195</v>
      </c>
      <c r="D56" s="10" t="s">
        <v>6</v>
      </c>
      <c r="E56" s="11">
        <v>1599</v>
      </c>
    </row>
    <row r="57" spans="1:5" x14ac:dyDescent="0.25">
      <c r="A57" s="7" t="s">
        <v>87</v>
      </c>
      <c r="B57" s="12" t="s">
        <v>88</v>
      </c>
      <c r="C57" s="12" t="s">
        <v>195</v>
      </c>
      <c r="D57" s="10" t="s">
        <v>6</v>
      </c>
      <c r="E57" s="11">
        <v>1500</v>
      </c>
    </row>
    <row r="58" spans="1:5" x14ac:dyDescent="0.25">
      <c r="A58" s="10" t="s">
        <v>21</v>
      </c>
      <c r="B58" s="29" t="s">
        <v>22</v>
      </c>
      <c r="C58" s="29" t="s">
        <v>194</v>
      </c>
      <c r="D58" s="10" t="s">
        <v>6</v>
      </c>
      <c r="E58" s="17">
        <f>1141.59</f>
        <v>1141.5899999999999</v>
      </c>
    </row>
    <row r="59" spans="1:5" ht="25.5" x14ac:dyDescent="0.25">
      <c r="A59" s="7" t="s">
        <v>137</v>
      </c>
      <c r="B59" s="12" t="s">
        <v>138</v>
      </c>
      <c r="C59" s="12" t="s">
        <v>178</v>
      </c>
      <c r="D59" s="10" t="s">
        <v>6</v>
      </c>
      <c r="E59" s="11">
        <f>340+640</f>
        <v>980</v>
      </c>
    </row>
    <row r="60" spans="1:5" x14ac:dyDescent="0.25">
      <c r="A60" s="8" t="s">
        <v>51</v>
      </c>
      <c r="B60" s="30" t="s">
        <v>52</v>
      </c>
      <c r="C60" s="12" t="s">
        <v>195</v>
      </c>
      <c r="D60" s="10" t="s">
        <v>6</v>
      </c>
      <c r="E60" s="17">
        <f>750</f>
        <v>750</v>
      </c>
    </row>
    <row r="61" spans="1:5" x14ac:dyDescent="0.25">
      <c r="A61" s="7" t="s">
        <v>131</v>
      </c>
      <c r="B61" s="12" t="s">
        <v>132</v>
      </c>
      <c r="C61" s="12" t="s">
        <v>199</v>
      </c>
      <c r="D61" s="10" t="s">
        <v>6</v>
      </c>
      <c r="E61" s="11">
        <v>720.6</v>
      </c>
    </row>
    <row r="62" spans="1:5" x14ac:dyDescent="0.25">
      <c r="A62" s="7" t="s">
        <v>133</v>
      </c>
      <c r="B62" s="12" t="s">
        <v>134</v>
      </c>
      <c r="C62" s="12" t="s">
        <v>200</v>
      </c>
      <c r="D62" s="10" t="s">
        <v>6</v>
      </c>
      <c r="E62" s="11">
        <v>680</v>
      </c>
    </row>
    <row r="63" spans="1:5" x14ac:dyDescent="0.25">
      <c r="A63" s="7" t="s">
        <v>129</v>
      </c>
      <c r="B63" s="12" t="s">
        <v>130</v>
      </c>
      <c r="C63" s="12" t="s">
        <v>201</v>
      </c>
      <c r="D63" s="10" t="s">
        <v>6</v>
      </c>
      <c r="E63" s="11">
        <v>676</v>
      </c>
    </row>
    <row r="64" spans="1:5" x14ac:dyDescent="0.25">
      <c r="A64" s="7" t="s">
        <v>140</v>
      </c>
      <c r="B64" s="12" t="s">
        <v>141</v>
      </c>
      <c r="C64" s="12" t="s">
        <v>202</v>
      </c>
      <c r="D64" s="10" t="s">
        <v>6</v>
      </c>
      <c r="E64" s="11">
        <v>672</v>
      </c>
    </row>
    <row r="65" spans="1:5" x14ac:dyDescent="0.25">
      <c r="A65" s="7" t="s">
        <v>91</v>
      </c>
      <c r="B65" s="12" t="s">
        <v>92</v>
      </c>
      <c r="C65" s="12" t="s">
        <v>203</v>
      </c>
      <c r="D65" s="10" t="s">
        <v>6</v>
      </c>
      <c r="E65" s="11">
        <v>661.9</v>
      </c>
    </row>
    <row r="66" spans="1:5" x14ac:dyDescent="0.25">
      <c r="A66" s="7" t="s">
        <v>80</v>
      </c>
      <c r="B66" s="12" t="s">
        <v>81</v>
      </c>
      <c r="C66" s="12" t="s">
        <v>195</v>
      </c>
      <c r="D66" s="10" t="s">
        <v>6</v>
      </c>
      <c r="E66" s="11">
        <f>398+120+120</f>
        <v>638</v>
      </c>
    </row>
    <row r="67" spans="1:5" x14ac:dyDescent="0.25">
      <c r="A67" s="7" t="s">
        <v>115</v>
      </c>
      <c r="B67" s="12" t="s">
        <v>160</v>
      </c>
      <c r="C67" s="12" t="s">
        <v>195</v>
      </c>
      <c r="D67" s="10" t="s">
        <v>6</v>
      </c>
      <c r="E67" s="11">
        <f>110+510</f>
        <v>620</v>
      </c>
    </row>
    <row r="68" spans="1:5" x14ac:dyDescent="0.25">
      <c r="A68" s="7" t="s">
        <v>109</v>
      </c>
      <c r="B68" s="12" t="s">
        <v>110</v>
      </c>
      <c r="C68" s="12" t="s">
        <v>195</v>
      </c>
      <c r="D68" s="10" t="s">
        <v>6</v>
      </c>
      <c r="E68" s="11">
        <v>600</v>
      </c>
    </row>
    <row r="69" spans="1:5" x14ac:dyDescent="0.25">
      <c r="A69" s="7" t="s">
        <v>89</v>
      </c>
      <c r="B69" s="12" t="s">
        <v>90</v>
      </c>
      <c r="C69" s="12" t="s">
        <v>203</v>
      </c>
      <c r="D69" s="10" t="s">
        <v>6</v>
      </c>
      <c r="E69" s="11">
        <f>567.62</f>
        <v>567.62</v>
      </c>
    </row>
    <row r="70" spans="1:5" x14ac:dyDescent="0.25">
      <c r="A70" s="7" t="s">
        <v>139</v>
      </c>
      <c r="B70" s="12" t="s">
        <v>160</v>
      </c>
      <c r="C70" s="12" t="s">
        <v>195</v>
      </c>
      <c r="D70" s="10" t="s">
        <v>6</v>
      </c>
      <c r="E70" s="11">
        <v>540</v>
      </c>
    </row>
    <row r="71" spans="1:5" x14ac:dyDescent="0.25">
      <c r="A71" s="7" t="s">
        <v>47</v>
      </c>
      <c r="B71" s="12" t="s">
        <v>48</v>
      </c>
      <c r="C71" s="12" t="s">
        <v>198</v>
      </c>
      <c r="D71" s="10" t="s">
        <v>6</v>
      </c>
      <c r="E71" s="17">
        <v>431</v>
      </c>
    </row>
    <row r="72" spans="1:5" x14ac:dyDescent="0.25">
      <c r="A72" s="10" t="s">
        <v>29</v>
      </c>
      <c r="B72" s="30" t="s">
        <v>30</v>
      </c>
      <c r="C72" s="30" t="s">
        <v>204</v>
      </c>
      <c r="D72" s="10" t="s">
        <v>6</v>
      </c>
      <c r="E72" s="17">
        <f>80+32+64+16+48+16+32+64+32+32</f>
        <v>416</v>
      </c>
    </row>
    <row r="73" spans="1:5" x14ac:dyDescent="0.25">
      <c r="A73" s="7" t="s">
        <v>83</v>
      </c>
      <c r="B73" s="12" t="s">
        <v>84</v>
      </c>
      <c r="C73" s="12" t="s">
        <v>195</v>
      </c>
      <c r="D73" s="10" t="s">
        <v>6</v>
      </c>
      <c r="E73" s="11">
        <v>380</v>
      </c>
    </row>
    <row r="74" spans="1:5" x14ac:dyDescent="0.25">
      <c r="A74" s="7" t="s">
        <v>107</v>
      </c>
      <c r="B74" s="12" t="s">
        <v>108</v>
      </c>
      <c r="C74" s="12" t="s">
        <v>205</v>
      </c>
      <c r="D74" s="10" t="s">
        <v>6</v>
      </c>
      <c r="E74" s="11">
        <v>279</v>
      </c>
    </row>
    <row r="75" spans="1:5" x14ac:dyDescent="0.25">
      <c r="A75" s="7" t="s">
        <v>79</v>
      </c>
      <c r="B75" s="12" t="s">
        <v>160</v>
      </c>
      <c r="C75" s="12" t="s">
        <v>195</v>
      </c>
      <c r="D75" s="10" t="s">
        <v>6</v>
      </c>
      <c r="E75" s="11">
        <v>257.5</v>
      </c>
    </row>
    <row r="76" spans="1:5" x14ac:dyDescent="0.25">
      <c r="A76" s="7" t="s">
        <v>97</v>
      </c>
      <c r="B76" s="12" t="s">
        <v>98</v>
      </c>
      <c r="C76" s="12" t="s">
        <v>206</v>
      </c>
      <c r="D76" s="10" t="s">
        <v>6</v>
      </c>
      <c r="E76" s="11">
        <v>240</v>
      </c>
    </row>
    <row r="77" spans="1:5" x14ac:dyDescent="0.25">
      <c r="A77" s="7" t="s">
        <v>156</v>
      </c>
      <c r="B77" s="12" t="s">
        <v>157</v>
      </c>
      <c r="C77" s="12" t="s">
        <v>184</v>
      </c>
      <c r="D77" s="10" t="s">
        <v>6</v>
      </c>
      <c r="E77" s="11">
        <f>220</f>
        <v>220</v>
      </c>
    </row>
    <row r="78" spans="1:5" x14ac:dyDescent="0.25">
      <c r="A78" s="7" t="s">
        <v>73</v>
      </c>
      <c r="B78" s="12" t="s">
        <v>74</v>
      </c>
      <c r="C78" s="12" t="s">
        <v>195</v>
      </c>
      <c r="D78" s="10" t="s">
        <v>6</v>
      </c>
      <c r="E78" s="11">
        <v>180</v>
      </c>
    </row>
    <row r="79" spans="1:5" x14ac:dyDescent="0.25">
      <c r="A79" s="10" t="s">
        <v>23</v>
      </c>
      <c r="B79" s="29" t="s">
        <v>24</v>
      </c>
      <c r="C79" s="29" t="s">
        <v>207</v>
      </c>
      <c r="D79" s="10" t="s">
        <v>6</v>
      </c>
      <c r="E79" s="17">
        <f>56.49*3</f>
        <v>169.47</v>
      </c>
    </row>
    <row r="80" spans="1:5" x14ac:dyDescent="0.25">
      <c r="A80" s="7" t="s">
        <v>82</v>
      </c>
      <c r="B80" s="12" t="s">
        <v>160</v>
      </c>
      <c r="C80" s="12" t="s">
        <v>208</v>
      </c>
      <c r="D80" s="10" t="s">
        <v>6</v>
      </c>
      <c r="E80" s="11">
        <f>166</f>
        <v>166</v>
      </c>
    </row>
    <row r="81" spans="1:5" x14ac:dyDescent="0.25">
      <c r="A81" s="7" t="s">
        <v>93</v>
      </c>
      <c r="B81" s="12" t="s">
        <v>94</v>
      </c>
      <c r="C81" s="12" t="s">
        <v>203</v>
      </c>
      <c r="D81" s="10" t="s">
        <v>6</v>
      </c>
      <c r="E81" s="11">
        <v>141.9</v>
      </c>
    </row>
    <row r="82" spans="1:5" ht="13.9" customHeight="1" x14ac:dyDescent="0.25">
      <c r="A82" s="7" t="s">
        <v>99</v>
      </c>
      <c r="B82" s="12" t="s">
        <v>100</v>
      </c>
      <c r="C82" s="12" t="s">
        <v>209</v>
      </c>
      <c r="D82" s="10" t="s">
        <v>6</v>
      </c>
      <c r="E82" s="11">
        <v>74.900000000000006</v>
      </c>
    </row>
    <row r="83" spans="1:5" x14ac:dyDescent="0.25">
      <c r="E83" s="78">
        <f>SUM(E3:E82)</f>
        <v>2321005.23</v>
      </c>
    </row>
    <row r="85" spans="1:5" x14ac:dyDescent="0.25">
      <c r="A85" s="93" t="s">
        <v>211</v>
      </c>
      <c r="B85" s="94"/>
      <c r="C85" s="94"/>
      <c r="D85" s="94"/>
      <c r="E85" s="94"/>
    </row>
    <row r="87" spans="1:5" x14ac:dyDescent="0.25">
      <c r="A87" s="32" t="s">
        <v>0</v>
      </c>
      <c r="B87" s="32" t="s">
        <v>212</v>
      </c>
      <c r="C87" s="32" t="s">
        <v>213</v>
      </c>
      <c r="D87" s="32" t="s">
        <v>214</v>
      </c>
      <c r="E87" s="32" t="s">
        <v>215</v>
      </c>
    </row>
    <row r="88" spans="1:5" ht="15.75" thickBot="1" x14ac:dyDescent="0.3">
      <c r="A88" s="37" t="s">
        <v>216</v>
      </c>
      <c r="B88" s="50" t="s">
        <v>217</v>
      </c>
      <c r="C88" s="38" t="s">
        <v>218</v>
      </c>
      <c r="D88" s="5" t="s">
        <v>6</v>
      </c>
      <c r="E88" s="39">
        <f>9513.43+660+3627.47+9225.15+660+9144.72+660+9194.73+660+9194.73+660+9194.73*7+660*7+8076.73+4065.45</f>
        <v>134325.51999999999</v>
      </c>
    </row>
    <row r="89" spans="1:5" x14ac:dyDescent="0.25">
      <c r="A89" s="57" t="s">
        <v>219</v>
      </c>
      <c r="B89" s="58" t="s">
        <v>220</v>
      </c>
      <c r="C89" s="59" t="s">
        <v>221</v>
      </c>
      <c r="D89" s="60" t="s">
        <v>6</v>
      </c>
      <c r="E89" s="61">
        <f>11257.8*11+8655.76</f>
        <v>132491.56</v>
      </c>
    </row>
    <row r="90" spans="1:5" ht="15.75" thickBot="1" x14ac:dyDescent="0.3">
      <c r="A90" s="62" t="s">
        <v>222</v>
      </c>
      <c r="B90" s="63" t="s">
        <v>223</v>
      </c>
      <c r="C90" s="64" t="s">
        <v>221</v>
      </c>
      <c r="D90" s="65" t="s">
        <v>6</v>
      </c>
      <c r="E90" s="66">
        <f>10532.8*11+8022</f>
        <v>123882.79999999999</v>
      </c>
    </row>
    <row r="91" spans="1:5" x14ac:dyDescent="0.25">
      <c r="A91" s="52" t="s">
        <v>224</v>
      </c>
      <c r="B91" s="53" t="s">
        <v>225</v>
      </c>
      <c r="C91" s="54" t="s">
        <v>218</v>
      </c>
      <c r="D91" s="55" t="s">
        <v>6</v>
      </c>
      <c r="E91" s="56">
        <f>8797.66+660+8531.98+660+8501.54+660+8501.56+660+8501.56+660+8501.56*7+660*7+7471.2+3746.75+2380</f>
        <v>123863.17</v>
      </c>
    </row>
    <row r="92" spans="1:5" x14ac:dyDescent="0.25">
      <c r="A92" s="33" t="s">
        <v>226</v>
      </c>
      <c r="B92" s="49" t="s">
        <v>227</v>
      </c>
      <c r="C92" s="34" t="s">
        <v>218</v>
      </c>
      <c r="D92" s="1" t="s">
        <v>6</v>
      </c>
      <c r="E92" s="35">
        <f>8508.38+660+224+8251.84+660+224+8221.4+660+224+8221.42+660+224+8221.42+660+224+8221.42+660*7+224*7+8273.56*6+12223.13</f>
        <v>122118.37</v>
      </c>
    </row>
    <row r="93" spans="1:5" x14ac:dyDescent="0.25">
      <c r="A93" s="33" t="s">
        <v>228</v>
      </c>
      <c r="B93" s="49" t="s">
        <v>229</v>
      </c>
      <c r="C93" s="34" t="s">
        <v>218</v>
      </c>
      <c r="D93" s="1" t="s">
        <v>6</v>
      </c>
      <c r="E93" s="35">
        <f>7018.51+660+6809.01+660+6778.57+660+6778.59+660+6778.59+660+6778.59*7+660*7+5966.08+2954.58</f>
        <v>98454.060000000012</v>
      </c>
    </row>
    <row r="94" spans="1:5" x14ac:dyDescent="0.25">
      <c r="A94" s="33" t="s">
        <v>230</v>
      </c>
      <c r="B94" s="49" t="s">
        <v>231</v>
      </c>
      <c r="C94" s="34" t="s">
        <v>218</v>
      </c>
      <c r="D94" s="1" t="s">
        <v>6</v>
      </c>
      <c r="E94" s="35">
        <f>5433.87+660+5284.08+660+5253.65+660+5253.66+660+5253.66+660+5253.66+660+4633.96+660+2253.46+5253.66+660+5253.66+660+5253.66*3+660*3+5253.66</f>
        <v>78061.960000000006</v>
      </c>
    </row>
    <row r="95" spans="1:5" x14ac:dyDescent="0.25">
      <c r="A95" s="33" t="s">
        <v>232</v>
      </c>
      <c r="B95" s="49" t="s">
        <v>225</v>
      </c>
      <c r="C95" s="34" t="s">
        <v>218</v>
      </c>
      <c r="D95" s="1" t="s">
        <v>6</v>
      </c>
      <c r="E95" s="35">
        <f>4792.28+660+4668.43+660+4642.63+660+4642.65+660+4642.65+660+4642.65*7+660*7+4081.29+1962.58</f>
        <v>69851.06</v>
      </c>
    </row>
    <row r="96" spans="1:5" x14ac:dyDescent="0.25">
      <c r="A96" s="33" t="s">
        <v>233</v>
      </c>
      <c r="B96" s="49" t="s">
        <v>234</v>
      </c>
      <c r="C96" s="34" t="s">
        <v>218</v>
      </c>
      <c r="D96" s="1" t="s">
        <v>6</v>
      </c>
      <c r="E96" s="35">
        <f>4338.55+660+4223+660+4212.84+660+4212.86+660+4212.86+660+4212.86*3+660*4+3658.83+1712.8+21334.69</f>
        <v>66485.010000000009</v>
      </c>
    </row>
    <row r="97" spans="1:5" x14ac:dyDescent="0.25">
      <c r="A97" s="33" t="s">
        <v>235</v>
      </c>
      <c r="B97" s="49" t="s">
        <v>236</v>
      </c>
      <c r="C97" s="34" t="s">
        <v>218</v>
      </c>
      <c r="D97" s="1" t="s">
        <v>6</v>
      </c>
      <c r="E97" s="35">
        <f>4293.01+660+4180.34+660+4170.18+660+4170.2+660+4170.2+660+4170.2*7+660*7+3606.7+1712.8</f>
        <v>63414.83</v>
      </c>
    </row>
    <row r="98" spans="1:5" x14ac:dyDescent="0.25">
      <c r="A98" s="33" t="s">
        <v>237</v>
      </c>
      <c r="B98" s="49" t="s">
        <v>238</v>
      </c>
      <c r="C98" s="34" t="s">
        <v>218</v>
      </c>
      <c r="D98" s="1" t="s">
        <v>6</v>
      </c>
      <c r="E98" s="35">
        <f>4699.09+660+4577.64+660+4572.99+660+4572.99+660+4572.99+660+4572.99+660+4123.68+660+1712.8+4593.15+660+4593.15+660+14437.19</f>
        <v>62968.66</v>
      </c>
    </row>
    <row r="99" spans="1:5" x14ac:dyDescent="0.25">
      <c r="A99" s="33" t="s">
        <v>239</v>
      </c>
      <c r="B99" s="49" t="s">
        <v>240</v>
      </c>
      <c r="C99" s="34" t="s">
        <v>218</v>
      </c>
      <c r="D99" s="1" t="s">
        <v>6</v>
      </c>
      <c r="E99" s="35">
        <f>2111.24+660+580+224+3435.32+660+528+224+3441.28+660+580.8+224+3707.99+660+224+3707.99+660+224+3707.99*4+660*7+224*7+528+3441.3+554.4+3441.3+541.8+567.6+5338.44+3441.3</f>
        <v>61386.720000000008</v>
      </c>
    </row>
    <row r="100" spans="1:5" x14ac:dyDescent="0.25">
      <c r="A100" s="36" t="s">
        <v>241</v>
      </c>
      <c r="B100" s="49" t="s">
        <v>236</v>
      </c>
      <c r="C100" s="34" t="s">
        <v>218</v>
      </c>
      <c r="D100" s="1" t="s">
        <v>6</v>
      </c>
      <c r="E100" s="35">
        <f>4293.01+660+4180.34+660+4170.18+660+4170.2+660+4170.2+660+4170.2*4+660*5+3606.7+1712.8+9717.01</f>
        <v>59301.24</v>
      </c>
    </row>
    <row r="101" spans="1:5" x14ac:dyDescent="0.25">
      <c r="A101" s="33" t="s">
        <v>242</v>
      </c>
      <c r="B101" s="49" t="s">
        <v>243</v>
      </c>
      <c r="C101" s="34" t="s">
        <v>218</v>
      </c>
      <c r="D101" s="1" t="s">
        <v>6</v>
      </c>
      <c r="E101" s="35">
        <f>3332.99+660+580+224+3234.68+660+224+528+3249.13+660+224+580.8+3497.25+660+224+3525.69+660+224+3525.69*6+660*7+224*7+829.72+4519.17+2735.24</f>
        <v>58374.80999999999</v>
      </c>
    </row>
    <row r="102" spans="1:5" x14ac:dyDescent="0.25">
      <c r="A102" s="33" t="s">
        <v>244</v>
      </c>
      <c r="B102" s="49" t="s">
        <v>225</v>
      </c>
      <c r="C102" s="34" t="s">
        <v>218</v>
      </c>
      <c r="D102" s="1" t="s">
        <v>6</v>
      </c>
      <c r="E102" s="35">
        <f>4435.66+4323.06+4308.9+4308.92+4308.92+4308.92+3742.3+660+1784.16+4308.92+4308.92+4308.92*3+4308.92</f>
        <v>58034.359999999993</v>
      </c>
    </row>
    <row r="103" spans="1:5" x14ac:dyDescent="0.25">
      <c r="A103" s="33" t="s">
        <v>245</v>
      </c>
      <c r="B103" s="49" t="s">
        <v>225</v>
      </c>
      <c r="C103" s="34" t="s">
        <v>218</v>
      </c>
      <c r="D103" s="1" t="s">
        <v>6</v>
      </c>
      <c r="E103" s="35">
        <f>4425.33+4313.06+4299.24+4299.26+4299.26+4299.26*7+3732.48+660+1779</f>
        <v>57902.450000000004</v>
      </c>
    </row>
    <row r="104" spans="1:5" x14ac:dyDescent="0.25">
      <c r="A104" s="33" t="s">
        <v>246</v>
      </c>
      <c r="B104" s="49" t="s">
        <v>247</v>
      </c>
      <c r="C104" s="34" t="s">
        <v>248</v>
      </c>
      <c r="D104" s="1" t="s">
        <v>6</v>
      </c>
      <c r="E104" s="35">
        <f>4084.88*12</f>
        <v>49018.559999999998</v>
      </c>
    </row>
    <row r="105" spans="1:5" x14ac:dyDescent="0.25">
      <c r="A105" s="33" t="s">
        <v>249</v>
      </c>
      <c r="B105" s="49" t="s">
        <v>250</v>
      </c>
      <c r="C105" s="34" t="s">
        <v>218</v>
      </c>
      <c r="D105" s="1" t="s">
        <v>6</v>
      </c>
      <c r="E105" s="35">
        <f>4381.2+660+4265.66+660+4255.5+660+4255.52+660+4255.52+660+4255.52+660+660+15351.31</f>
        <v>45640.23</v>
      </c>
    </row>
    <row r="106" spans="1:5" x14ac:dyDescent="0.25">
      <c r="A106" s="37" t="s">
        <v>251</v>
      </c>
      <c r="B106" s="50" t="s">
        <v>252</v>
      </c>
      <c r="C106" s="38" t="s">
        <v>218</v>
      </c>
      <c r="D106" s="5" t="s">
        <v>6</v>
      </c>
      <c r="E106" s="39">
        <f>2211.76+660+380+2143.59+380+660+2177.49+380+660+2267.51+2267.51+660+2267.51*6+660*6+1867.88+1058.2+2221.1</f>
        <v>37560.1</v>
      </c>
    </row>
    <row r="107" spans="1:5" x14ac:dyDescent="0.25">
      <c r="A107" s="15" t="s">
        <v>253</v>
      </c>
      <c r="B107" s="51" t="s">
        <v>254</v>
      </c>
      <c r="C107" s="40" t="s">
        <v>218</v>
      </c>
      <c r="D107" s="15" t="s">
        <v>255</v>
      </c>
      <c r="E107" s="41">
        <f>3787.37*6+660*7+2366.27+3859.17+2513.76</f>
        <v>36083.420000000006</v>
      </c>
    </row>
    <row r="108" spans="1:5" x14ac:dyDescent="0.25">
      <c r="A108" s="15" t="s">
        <v>256</v>
      </c>
      <c r="B108" s="51" t="s">
        <v>257</v>
      </c>
      <c r="C108" s="40" t="s">
        <v>218</v>
      </c>
      <c r="D108" s="15" t="s">
        <v>258</v>
      </c>
      <c r="E108" s="41">
        <f>647.5+660+220+1380.68*3+660*7+224*7+1290.68*4+1470.6+567.6+528+809.38+554.4</f>
        <v>20950.240000000002</v>
      </c>
    </row>
    <row r="109" spans="1:5" x14ac:dyDescent="0.25">
      <c r="A109" s="15" t="s">
        <v>259</v>
      </c>
      <c r="B109" s="51" t="s">
        <v>260</v>
      </c>
      <c r="C109" s="40" t="s">
        <v>218</v>
      </c>
      <c r="D109" s="42" t="s">
        <v>261</v>
      </c>
      <c r="E109" s="41">
        <f>1159.2+1653.67+1653.68+1653.68+1653.68*6+1568.9+660+660+1517.18</f>
        <v>20448.390000000003</v>
      </c>
    </row>
    <row r="110" spans="1:5" x14ac:dyDescent="0.25">
      <c r="A110" s="72"/>
      <c r="B110" s="73"/>
      <c r="C110" s="74"/>
      <c r="D110" s="75"/>
      <c r="E110" s="76">
        <f>SUM(E88:E109)</f>
        <v>1580617.52</v>
      </c>
    </row>
    <row r="112" spans="1:5" x14ac:dyDescent="0.25">
      <c r="A112" s="95" t="s">
        <v>262</v>
      </c>
      <c r="B112" s="95"/>
      <c r="C112" s="95"/>
      <c r="D112" s="95"/>
      <c r="E112" s="95"/>
    </row>
    <row r="113" spans="1:5" x14ac:dyDescent="0.25">
      <c r="A113" s="79" t="s">
        <v>263</v>
      </c>
      <c r="B113" s="79" t="s">
        <v>2</v>
      </c>
      <c r="C113" s="79" t="s">
        <v>291</v>
      </c>
      <c r="D113" s="80" t="s">
        <v>215</v>
      </c>
      <c r="E113" s="81" t="s">
        <v>292</v>
      </c>
    </row>
    <row r="114" spans="1:5" x14ac:dyDescent="0.25">
      <c r="A114" s="67" t="s">
        <v>264</v>
      </c>
      <c r="B114" s="68" t="s">
        <v>6</v>
      </c>
      <c r="C114" s="69">
        <v>3100</v>
      </c>
      <c r="D114" s="71">
        <f>2395.45+2989.8*11</f>
        <v>35283.25</v>
      </c>
      <c r="E114" s="51" t="s">
        <v>293</v>
      </c>
    </row>
    <row r="115" spans="1:5" x14ac:dyDescent="0.25">
      <c r="A115" s="70" t="s">
        <v>265</v>
      </c>
      <c r="B115" s="68" t="s">
        <v>6</v>
      </c>
      <c r="C115" s="69">
        <v>2800</v>
      </c>
      <c r="D115" s="71">
        <f>2736.36+2732.8*11</f>
        <v>32797.160000000003</v>
      </c>
      <c r="E115" s="51" t="s">
        <v>293</v>
      </c>
    </row>
    <row r="116" spans="1:5" x14ac:dyDescent="0.25">
      <c r="A116" s="70" t="s">
        <v>266</v>
      </c>
      <c r="B116" s="68" t="s">
        <v>6</v>
      </c>
      <c r="C116" s="69">
        <v>1800</v>
      </c>
      <c r="D116" s="71">
        <f>1800*12</f>
        <v>21600</v>
      </c>
      <c r="E116" s="51" t="s">
        <v>293</v>
      </c>
    </row>
    <row r="117" spans="1:5" x14ac:dyDescent="0.25">
      <c r="A117" s="67" t="s">
        <v>267</v>
      </c>
      <c r="B117" s="68" t="s">
        <v>6</v>
      </c>
      <c r="C117" s="69">
        <v>1500</v>
      </c>
      <c r="D117" s="71">
        <f>1500*12</f>
        <v>18000</v>
      </c>
      <c r="E117" s="51" t="s">
        <v>293</v>
      </c>
    </row>
    <row r="118" spans="1:5" x14ac:dyDescent="0.25">
      <c r="A118" s="67" t="s">
        <v>268</v>
      </c>
      <c r="B118" s="68" t="s">
        <v>6</v>
      </c>
      <c r="C118" s="69">
        <v>1500</v>
      </c>
      <c r="D118" s="71">
        <f>1500*12</f>
        <v>18000</v>
      </c>
      <c r="E118" s="51" t="s">
        <v>293</v>
      </c>
    </row>
    <row r="119" spans="1:5" x14ac:dyDescent="0.25">
      <c r="A119" s="67" t="s">
        <v>269</v>
      </c>
      <c r="B119" s="68" t="s">
        <v>6</v>
      </c>
      <c r="C119" s="69">
        <v>1500</v>
      </c>
      <c r="D119" s="71">
        <f>1500*12</f>
        <v>18000</v>
      </c>
      <c r="E119" s="51" t="s">
        <v>293</v>
      </c>
    </row>
    <row r="120" spans="1:5" x14ac:dyDescent="0.25">
      <c r="A120" s="67" t="s">
        <v>270</v>
      </c>
      <c r="B120" s="68" t="s">
        <v>6</v>
      </c>
      <c r="C120" s="69">
        <v>1500</v>
      </c>
      <c r="D120" s="71">
        <f>1500*12</f>
        <v>18000</v>
      </c>
      <c r="E120" s="51" t="s">
        <v>293</v>
      </c>
    </row>
    <row r="121" spans="1:5" x14ac:dyDescent="0.25">
      <c r="A121" s="67" t="s">
        <v>271</v>
      </c>
      <c r="B121" s="68" t="s">
        <v>6</v>
      </c>
      <c r="C121" s="69">
        <v>1500</v>
      </c>
      <c r="D121" s="71">
        <f>1431.82+1500*11</f>
        <v>17931.82</v>
      </c>
      <c r="E121" s="51" t="s">
        <v>293</v>
      </c>
    </row>
    <row r="122" spans="1:5" x14ac:dyDescent="0.25">
      <c r="A122" s="67" t="s">
        <v>272</v>
      </c>
      <c r="B122" s="68" t="s">
        <v>6</v>
      </c>
      <c r="C122" s="69">
        <v>1200</v>
      </c>
      <c r="D122" s="71">
        <f>1200*12</f>
        <v>14400</v>
      </c>
      <c r="E122" s="51" t="s">
        <v>293</v>
      </c>
    </row>
    <row r="123" spans="1:5" x14ac:dyDescent="0.25">
      <c r="A123" s="70" t="s">
        <v>273</v>
      </c>
      <c r="B123" s="68" t="s">
        <v>6</v>
      </c>
      <c r="C123" s="69">
        <v>1200</v>
      </c>
      <c r="D123" s="71">
        <f>1145.45+1200*11</f>
        <v>14345.45</v>
      </c>
      <c r="E123" s="51" t="s">
        <v>293</v>
      </c>
    </row>
    <row r="124" spans="1:5" x14ac:dyDescent="0.25">
      <c r="A124" s="70" t="s">
        <v>274</v>
      </c>
      <c r="B124" s="68" t="s">
        <v>6</v>
      </c>
      <c r="C124" s="69">
        <v>1200</v>
      </c>
      <c r="D124" s="71">
        <f>1145.45+1200*11</f>
        <v>14345.45</v>
      </c>
      <c r="E124" s="51" t="s">
        <v>293</v>
      </c>
    </row>
    <row r="125" spans="1:5" x14ac:dyDescent="0.25">
      <c r="A125" s="70" t="s">
        <v>275</v>
      </c>
      <c r="B125" s="68" t="s">
        <v>6</v>
      </c>
      <c r="C125" s="69">
        <v>1200</v>
      </c>
      <c r="D125" s="71">
        <f>1118.18+1200*11</f>
        <v>14318.18</v>
      </c>
      <c r="E125" s="51" t="s">
        <v>293</v>
      </c>
    </row>
    <row r="126" spans="1:5" x14ac:dyDescent="0.25">
      <c r="A126" s="67" t="s">
        <v>276</v>
      </c>
      <c r="B126" s="68" t="s">
        <v>6</v>
      </c>
      <c r="C126" s="69">
        <v>1200</v>
      </c>
      <c r="D126" s="71">
        <f>1090.91+1200*11</f>
        <v>14290.91</v>
      </c>
      <c r="E126" s="51" t="s">
        <v>293</v>
      </c>
    </row>
    <row r="127" spans="1:5" x14ac:dyDescent="0.25">
      <c r="A127" s="70" t="s">
        <v>277</v>
      </c>
      <c r="B127" s="68" t="s">
        <v>6</v>
      </c>
      <c r="C127" s="69">
        <v>998</v>
      </c>
      <c r="D127" s="71">
        <f>1045*12</f>
        <v>12540</v>
      </c>
      <c r="E127" s="51" t="s">
        <v>293</v>
      </c>
    </row>
    <row r="128" spans="1:5" x14ac:dyDescent="0.25">
      <c r="A128" s="70" t="s">
        <v>278</v>
      </c>
      <c r="B128" s="68" t="s">
        <v>6</v>
      </c>
      <c r="C128" s="69">
        <v>998</v>
      </c>
      <c r="D128" s="71">
        <f>1045*12</f>
        <v>12540</v>
      </c>
      <c r="E128" s="51" t="s">
        <v>293</v>
      </c>
    </row>
    <row r="129" spans="1:5" x14ac:dyDescent="0.25">
      <c r="A129" s="70" t="s">
        <v>279</v>
      </c>
      <c r="B129" s="68" t="s">
        <v>6</v>
      </c>
      <c r="C129" s="69">
        <v>998</v>
      </c>
      <c r="D129" s="71">
        <f>1045*12</f>
        <v>12540</v>
      </c>
      <c r="E129" s="51" t="s">
        <v>293</v>
      </c>
    </row>
    <row r="130" spans="1:5" x14ac:dyDescent="0.25">
      <c r="A130" s="67" t="s">
        <v>280</v>
      </c>
      <c r="B130" s="68" t="s">
        <v>6</v>
      </c>
      <c r="C130" s="69">
        <v>998</v>
      </c>
      <c r="D130" s="71">
        <f>1021.55+1045*11</f>
        <v>12516.55</v>
      </c>
      <c r="E130" s="51" t="s">
        <v>293</v>
      </c>
    </row>
    <row r="131" spans="1:5" x14ac:dyDescent="0.25">
      <c r="A131" s="67" t="s">
        <v>281</v>
      </c>
      <c r="B131" s="68" t="s">
        <v>6</v>
      </c>
      <c r="C131" s="69">
        <v>1200</v>
      </c>
      <c r="D131" s="71">
        <f>1021.25+1045*11</f>
        <v>12516.25</v>
      </c>
      <c r="E131" s="51" t="s">
        <v>293</v>
      </c>
    </row>
    <row r="132" spans="1:5" x14ac:dyDescent="0.25">
      <c r="A132" s="67" t="s">
        <v>282</v>
      </c>
      <c r="B132" s="68" t="s">
        <v>6</v>
      </c>
      <c r="C132" s="69">
        <v>998</v>
      </c>
      <c r="D132" s="71">
        <f>950+1045*11</f>
        <v>12445</v>
      </c>
      <c r="E132" s="51" t="s">
        <v>293</v>
      </c>
    </row>
    <row r="133" spans="1:5" x14ac:dyDescent="0.25">
      <c r="A133" s="70" t="s">
        <v>283</v>
      </c>
      <c r="B133" s="68" t="s">
        <v>6</v>
      </c>
      <c r="C133" s="69">
        <v>1200</v>
      </c>
      <c r="D133" s="71">
        <f>1036.36+1200*2+1200*3+1200*2</f>
        <v>9436.36</v>
      </c>
      <c r="E133" s="51" t="s">
        <v>293</v>
      </c>
    </row>
    <row r="134" spans="1:5" x14ac:dyDescent="0.25">
      <c r="A134" s="67" t="s">
        <v>284</v>
      </c>
      <c r="B134" s="68" t="s">
        <v>285</v>
      </c>
      <c r="C134" s="69">
        <v>1045</v>
      </c>
      <c r="D134" s="71">
        <f t="shared" ref="D134:D139" si="0">1045*4</f>
        <v>4180</v>
      </c>
      <c r="E134" s="51" t="s">
        <v>293</v>
      </c>
    </row>
    <row r="135" spans="1:5" x14ac:dyDescent="0.25">
      <c r="A135" s="70" t="s">
        <v>286</v>
      </c>
      <c r="B135" s="68" t="s">
        <v>285</v>
      </c>
      <c r="C135" s="69">
        <v>1045</v>
      </c>
      <c r="D135" s="71">
        <f t="shared" si="0"/>
        <v>4180</v>
      </c>
      <c r="E135" s="51" t="s">
        <v>293</v>
      </c>
    </row>
    <row r="136" spans="1:5" x14ac:dyDescent="0.25">
      <c r="A136" s="67" t="s">
        <v>287</v>
      </c>
      <c r="B136" s="68" t="s">
        <v>285</v>
      </c>
      <c r="C136" s="69">
        <v>1045</v>
      </c>
      <c r="D136" s="71">
        <f t="shared" si="0"/>
        <v>4180</v>
      </c>
      <c r="E136" s="51" t="s">
        <v>293</v>
      </c>
    </row>
    <row r="137" spans="1:5" x14ac:dyDescent="0.25">
      <c r="A137" s="67" t="s">
        <v>288</v>
      </c>
      <c r="B137" s="68" t="s">
        <v>285</v>
      </c>
      <c r="C137" s="69">
        <v>1045</v>
      </c>
      <c r="D137" s="71">
        <f t="shared" si="0"/>
        <v>4180</v>
      </c>
      <c r="E137" s="51" t="s">
        <v>293</v>
      </c>
    </row>
    <row r="138" spans="1:5" x14ac:dyDescent="0.25">
      <c r="A138" s="70" t="s">
        <v>289</v>
      </c>
      <c r="B138" s="68" t="s">
        <v>285</v>
      </c>
      <c r="C138" s="69">
        <v>1045</v>
      </c>
      <c r="D138" s="71">
        <f t="shared" si="0"/>
        <v>4180</v>
      </c>
      <c r="E138" s="51" t="s">
        <v>293</v>
      </c>
    </row>
    <row r="139" spans="1:5" x14ac:dyDescent="0.25">
      <c r="A139" s="70" t="s">
        <v>290</v>
      </c>
      <c r="B139" s="68" t="s">
        <v>285</v>
      </c>
      <c r="C139" s="69">
        <v>1045</v>
      </c>
      <c r="D139" s="71">
        <f t="shared" si="0"/>
        <v>4180</v>
      </c>
      <c r="E139" s="51" t="s">
        <v>293</v>
      </c>
    </row>
    <row r="140" spans="1:5" x14ac:dyDescent="0.25">
      <c r="D140" s="77">
        <f>SUM(D114:D139)</f>
        <v>360926.38</v>
      </c>
    </row>
    <row r="142" spans="1:5" x14ac:dyDescent="0.25">
      <c r="A142" s="96" t="s">
        <v>323</v>
      </c>
      <c r="B142" s="96"/>
      <c r="C142" s="96"/>
      <c r="D142" s="96"/>
      <c r="E142" s="96"/>
    </row>
    <row r="143" spans="1:5" x14ac:dyDescent="0.25">
      <c r="A143" s="82" t="s">
        <v>294</v>
      </c>
      <c r="B143" s="83" t="s">
        <v>295</v>
      </c>
      <c r="C143" s="84" t="s">
        <v>296</v>
      </c>
      <c r="D143" s="82" t="s">
        <v>319</v>
      </c>
      <c r="E143" s="82" t="s">
        <v>320</v>
      </c>
    </row>
    <row r="144" spans="1:5" x14ac:dyDescent="0.25">
      <c r="A144" s="85" t="s">
        <v>253</v>
      </c>
      <c r="B144" s="86" t="s">
        <v>297</v>
      </c>
      <c r="C144" s="87">
        <v>2513.16</v>
      </c>
      <c r="D144" s="51" t="s">
        <v>321</v>
      </c>
      <c r="E144" s="51" t="s">
        <v>322</v>
      </c>
    </row>
    <row r="145" spans="1:5" x14ac:dyDescent="0.25">
      <c r="A145" s="88" t="s">
        <v>298</v>
      </c>
      <c r="B145" s="89" t="s">
        <v>299</v>
      </c>
      <c r="C145" s="90">
        <v>1780</v>
      </c>
      <c r="D145" s="51" t="s">
        <v>321</v>
      </c>
      <c r="E145" s="51" t="s">
        <v>322</v>
      </c>
    </row>
    <row r="146" spans="1:5" x14ac:dyDescent="0.25">
      <c r="A146" s="88" t="s">
        <v>300</v>
      </c>
      <c r="B146" s="89" t="s">
        <v>301</v>
      </c>
      <c r="C146" s="90">
        <v>1440</v>
      </c>
      <c r="D146" s="51" t="s">
        <v>321</v>
      </c>
      <c r="E146" s="51" t="s">
        <v>322</v>
      </c>
    </row>
    <row r="147" spans="1:5" x14ac:dyDescent="0.25">
      <c r="A147" s="88" t="s">
        <v>302</v>
      </c>
      <c r="B147" s="89" t="s">
        <v>299</v>
      </c>
      <c r="C147" s="90">
        <v>1246</v>
      </c>
      <c r="D147" s="51" t="s">
        <v>321</v>
      </c>
      <c r="E147" s="51" t="s">
        <v>322</v>
      </c>
    </row>
    <row r="148" spans="1:5" x14ac:dyDescent="0.25">
      <c r="A148" s="88" t="s">
        <v>303</v>
      </c>
      <c r="B148" s="89" t="s">
        <v>299</v>
      </c>
      <c r="C148" s="90">
        <v>1246</v>
      </c>
      <c r="D148" s="51" t="s">
        <v>321</v>
      </c>
      <c r="E148" s="51" t="s">
        <v>322</v>
      </c>
    </row>
    <row r="149" spans="1:5" x14ac:dyDescent="0.25">
      <c r="A149" s="88" t="s">
        <v>304</v>
      </c>
      <c r="B149" s="89" t="s">
        <v>299</v>
      </c>
      <c r="C149" s="90">
        <v>1246</v>
      </c>
      <c r="D149" s="51" t="s">
        <v>321</v>
      </c>
      <c r="E149" s="51" t="s">
        <v>322</v>
      </c>
    </row>
    <row r="150" spans="1:5" x14ac:dyDescent="0.25">
      <c r="A150" s="88" t="s">
        <v>305</v>
      </c>
      <c r="B150" s="89" t="s">
        <v>299</v>
      </c>
      <c r="C150" s="90">
        <v>1246</v>
      </c>
      <c r="D150" s="51" t="s">
        <v>321</v>
      </c>
      <c r="E150" s="51" t="s">
        <v>322</v>
      </c>
    </row>
    <row r="151" spans="1:5" x14ac:dyDescent="0.25">
      <c r="A151" s="88" t="s">
        <v>306</v>
      </c>
      <c r="B151" s="89" t="s">
        <v>299</v>
      </c>
      <c r="C151" s="90">
        <v>1246</v>
      </c>
      <c r="D151" s="51" t="s">
        <v>321</v>
      </c>
      <c r="E151" s="51" t="s">
        <v>322</v>
      </c>
    </row>
    <row r="152" spans="1:5" x14ac:dyDescent="0.25">
      <c r="A152" s="88" t="s">
        <v>307</v>
      </c>
      <c r="B152" s="89" t="s">
        <v>299</v>
      </c>
      <c r="C152" s="90">
        <v>1246</v>
      </c>
      <c r="D152" s="51" t="s">
        <v>321</v>
      </c>
      <c r="E152" s="51" t="s">
        <v>322</v>
      </c>
    </row>
    <row r="153" spans="1:5" x14ac:dyDescent="0.25">
      <c r="A153" s="88" t="s">
        <v>308</v>
      </c>
      <c r="B153" s="89" t="s">
        <v>299</v>
      </c>
      <c r="C153" s="90">
        <v>1246</v>
      </c>
      <c r="D153" s="51" t="s">
        <v>321</v>
      </c>
      <c r="E153" s="51" t="s">
        <v>322</v>
      </c>
    </row>
    <row r="154" spans="1:5" x14ac:dyDescent="0.25">
      <c r="A154" s="88" t="s">
        <v>309</v>
      </c>
      <c r="B154" s="89" t="s">
        <v>299</v>
      </c>
      <c r="C154" s="90">
        <v>1246</v>
      </c>
      <c r="D154" s="51" t="s">
        <v>321</v>
      </c>
      <c r="E154" s="51" t="s">
        <v>322</v>
      </c>
    </row>
    <row r="155" spans="1:5" x14ac:dyDescent="0.25">
      <c r="A155" s="88" t="s">
        <v>310</v>
      </c>
      <c r="B155" s="89" t="s">
        <v>299</v>
      </c>
      <c r="C155" s="90">
        <v>1246</v>
      </c>
      <c r="D155" s="51" t="s">
        <v>321</v>
      </c>
      <c r="E155" s="51" t="s">
        <v>322</v>
      </c>
    </row>
    <row r="156" spans="1:5" x14ac:dyDescent="0.25">
      <c r="A156" s="88" t="s">
        <v>311</v>
      </c>
      <c r="B156" s="89" t="s">
        <v>299</v>
      </c>
      <c r="C156" s="90">
        <v>1246</v>
      </c>
      <c r="D156" s="51" t="s">
        <v>321</v>
      </c>
      <c r="E156" s="51" t="s">
        <v>322</v>
      </c>
    </row>
    <row r="157" spans="1:5" x14ac:dyDescent="0.25">
      <c r="A157" s="88" t="s">
        <v>312</v>
      </c>
      <c r="B157" s="89" t="s">
        <v>299</v>
      </c>
      <c r="C157" s="90">
        <v>1246</v>
      </c>
      <c r="D157" s="51" t="s">
        <v>321</v>
      </c>
      <c r="E157" s="51" t="s">
        <v>322</v>
      </c>
    </row>
    <row r="158" spans="1:5" x14ac:dyDescent="0.25">
      <c r="A158" s="88" t="s">
        <v>313</v>
      </c>
      <c r="B158" s="89" t="s">
        <v>299</v>
      </c>
      <c r="C158" s="90">
        <v>900</v>
      </c>
      <c r="D158" s="51" t="s">
        <v>321</v>
      </c>
      <c r="E158" s="51" t="s">
        <v>322</v>
      </c>
    </row>
    <row r="159" spans="1:5" x14ac:dyDescent="0.25">
      <c r="A159" s="88" t="s">
        <v>314</v>
      </c>
      <c r="B159" s="89" t="s">
        <v>299</v>
      </c>
      <c r="C159" s="90">
        <v>900</v>
      </c>
      <c r="D159" s="51" t="s">
        <v>321</v>
      </c>
      <c r="E159" s="51" t="s">
        <v>322</v>
      </c>
    </row>
    <row r="160" spans="1:5" x14ac:dyDescent="0.25">
      <c r="A160" s="88" t="s">
        <v>315</v>
      </c>
      <c r="B160" s="89" t="s">
        <v>299</v>
      </c>
      <c r="C160" s="90">
        <v>900</v>
      </c>
      <c r="D160" s="51" t="s">
        <v>321</v>
      </c>
      <c r="E160" s="51" t="s">
        <v>322</v>
      </c>
    </row>
    <row r="161" spans="1:5" x14ac:dyDescent="0.25">
      <c r="A161" s="88" t="s">
        <v>316</v>
      </c>
      <c r="B161" s="89" t="s">
        <v>299</v>
      </c>
      <c r="C161" s="90">
        <v>900</v>
      </c>
      <c r="D161" s="51" t="s">
        <v>321</v>
      </c>
      <c r="E161" s="51" t="s">
        <v>322</v>
      </c>
    </row>
    <row r="162" spans="1:5" x14ac:dyDescent="0.25">
      <c r="A162" s="88" t="s">
        <v>317</v>
      </c>
      <c r="B162" s="89" t="s">
        <v>299</v>
      </c>
      <c r="C162" s="90">
        <v>900</v>
      </c>
      <c r="D162" s="51" t="s">
        <v>321</v>
      </c>
      <c r="E162" s="51" t="s">
        <v>322</v>
      </c>
    </row>
    <row r="163" spans="1:5" x14ac:dyDescent="0.25">
      <c r="A163" s="88" t="s">
        <v>318</v>
      </c>
      <c r="B163" s="89" t="s">
        <v>299</v>
      </c>
      <c r="C163" s="90">
        <v>900</v>
      </c>
      <c r="D163" s="51" t="s">
        <v>321</v>
      </c>
      <c r="E163" s="51" t="s">
        <v>322</v>
      </c>
    </row>
    <row r="164" spans="1:5" x14ac:dyDescent="0.25">
      <c r="C164" s="91">
        <f>SUM(C144:C163)</f>
        <v>24839.16</v>
      </c>
    </row>
  </sheetData>
  <sortState xmlns:xlrd2="http://schemas.microsoft.com/office/spreadsheetml/2017/richdata2" ref="A3:E82">
    <sortCondition descending="1" ref="E3:E82"/>
  </sortState>
  <mergeCells count="4">
    <mergeCell ref="A1:E1"/>
    <mergeCell ref="A85:E85"/>
    <mergeCell ref="A112:E112"/>
    <mergeCell ref="A142:E142"/>
  </mergeCells>
  <phoneticPr fontId="6" type="noConversion"/>
  <conditionalFormatting sqref="A88:A90 A92:A100">
    <cfRule type="cellIs" dxfId="49" priority="26" operator="equal">
      <formula>"Swift"</formula>
    </cfRule>
  </conditionalFormatting>
  <conditionalFormatting sqref="A88:A90 A92:A100">
    <cfRule type="containsText" dxfId="48" priority="27" operator="containsText" text="Invoice">
      <formula>NOT(ISERROR(SEARCH(("Invoice"),(A88))))</formula>
    </cfRule>
  </conditionalFormatting>
  <conditionalFormatting sqref="A88:A90 A92:A100">
    <cfRule type="containsText" dxfId="47" priority="28" operator="containsText" text="Outros (especificar)">
      <formula>NOT(ISERROR(SEARCH(("Outros (especificar)"),(A88))))</formula>
    </cfRule>
  </conditionalFormatting>
  <conditionalFormatting sqref="A88:A90 A92:A100">
    <cfRule type="containsText" dxfId="46" priority="29" operator="containsText" text="Contrato Câmbio / Swift">
      <formula>NOT(ISERROR(SEARCH(("Contrato Câmbio / Swift"),(A88))))</formula>
    </cfRule>
  </conditionalFormatting>
  <conditionalFormatting sqref="A88:A90 A92:A100">
    <cfRule type="containsText" dxfId="45" priority="30" operator="containsText" text="Recibo original">
      <formula>NOT(ISERROR(SEARCH(("Recibo original"),(A88))))</formula>
    </cfRule>
  </conditionalFormatting>
  <conditionalFormatting sqref="A91">
    <cfRule type="cellIs" dxfId="44" priority="31" operator="equal">
      <formula>"Swift"</formula>
    </cfRule>
  </conditionalFormatting>
  <conditionalFormatting sqref="A91">
    <cfRule type="containsText" dxfId="43" priority="32" operator="containsText" text="Invoice">
      <formula>NOT(ISERROR(SEARCH(("Invoice"),(A91))))</formula>
    </cfRule>
  </conditionalFormatting>
  <conditionalFormatting sqref="A91">
    <cfRule type="containsText" dxfId="42" priority="33" operator="containsText" text="Outros (especificar)">
      <formula>NOT(ISERROR(SEARCH(("Outros (especificar)"),(A91))))</formula>
    </cfRule>
  </conditionalFormatting>
  <conditionalFormatting sqref="A91">
    <cfRule type="containsText" dxfId="41" priority="34" operator="containsText" text="Contrato Câmbio / Swift">
      <formula>NOT(ISERROR(SEARCH(("Contrato Câmbio / Swift"),(A91))))</formula>
    </cfRule>
  </conditionalFormatting>
  <conditionalFormatting sqref="A91">
    <cfRule type="containsText" dxfId="40" priority="35" operator="containsText" text="Recibo original">
      <formula>NOT(ISERROR(SEARCH(("Recibo original"),(A91))))</formula>
    </cfRule>
  </conditionalFormatting>
  <conditionalFormatting sqref="A104:A105">
    <cfRule type="cellIs" dxfId="39" priority="36" operator="equal">
      <formula>"Swift"</formula>
    </cfRule>
  </conditionalFormatting>
  <conditionalFormatting sqref="A104:A105">
    <cfRule type="containsText" dxfId="38" priority="37" operator="containsText" text="Invoice">
      <formula>NOT(ISERROR(SEARCH(("Invoice"),(A104))))</formula>
    </cfRule>
  </conditionalFormatting>
  <conditionalFormatting sqref="A104:A105">
    <cfRule type="containsText" dxfId="37" priority="38" operator="containsText" text="Outros (especificar)">
      <formula>NOT(ISERROR(SEARCH(("Outros (especificar)"),(A104))))</formula>
    </cfRule>
  </conditionalFormatting>
  <conditionalFormatting sqref="A104:A105">
    <cfRule type="containsText" dxfId="36" priority="39" operator="containsText" text="Contrato Câmbio / Swift">
      <formula>NOT(ISERROR(SEARCH(("Contrato Câmbio / Swift"),(A104))))</formula>
    </cfRule>
  </conditionalFormatting>
  <conditionalFormatting sqref="A104:A105">
    <cfRule type="containsText" dxfId="35" priority="40" operator="containsText" text="Recibo original">
      <formula>NOT(ISERROR(SEARCH(("Recibo original"),(A104))))</formula>
    </cfRule>
  </conditionalFormatting>
  <conditionalFormatting sqref="A101:A103">
    <cfRule type="cellIs" dxfId="34" priority="41" operator="equal">
      <formula>"Swift"</formula>
    </cfRule>
  </conditionalFormatting>
  <conditionalFormatting sqref="A101:A103">
    <cfRule type="containsText" dxfId="33" priority="42" operator="containsText" text="Invoice">
      <formula>NOT(ISERROR(SEARCH(("Invoice"),(A101))))</formula>
    </cfRule>
  </conditionalFormatting>
  <conditionalFormatting sqref="A101:A103">
    <cfRule type="containsText" dxfId="32" priority="43" operator="containsText" text="Outros (especificar)">
      <formula>NOT(ISERROR(SEARCH(("Outros (especificar)"),(A101))))</formula>
    </cfRule>
  </conditionalFormatting>
  <conditionalFormatting sqref="A101:A103">
    <cfRule type="containsText" dxfId="31" priority="44" operator="containsText" text="Contrato Câmbio / Swift">
      <formula>NOT(ISERROR(SEARCH(("Contrato Câmbio / Swift"),(A101))))</formula>
    </cfRule>
  </conditionalFormatting>
  <conditionalFormatting sqref="A101:A103">
    <cfRule type="containsText" dxfId="30" priority="45" operator="containsText" text="Recibo original">
      <formula>NOT(ISERROR(SEARCH(("Recibo original"),(A101))))</formula>
    </cfRule>
  </conditionalFormatting>
  <conditionalFormatting sqref="A106">
    <cfRule type="cellIs" dxfId="29" priority="46" operator="equal">
      <formula>"Swift"</formula>
    </cfRule>
  </conditionalFormatting>
  <conditionalFormatting sqref="A106">
    <cfRule type="containsText" dxfId="28" priority="47" operator="containsText" text="Invoice">
      <formula>NOT(ISERROR(SEARCH(("Invoice"),(A106))))</formula>
    </cfRule>
  </conditionalFormatting>
  <conditionalFormatting sqref="A106">
    <cfRule type="containsText" dxfId="27" priority="48" operator="containsText" text="Outros (especificar)">
      <formula>NOT(ISERROR(SEARCH(("Outros (especificar)"),(A106))))</formula>
    </cfRule>
  </conditionalFormatting>
  <conditionalFormatting sqref="A106">
    <cfRule type="containsText" dxfId="26" priority="49" operator="containsText" text="Contrato Câmbio / Swift">
      <formula>NOT(ISERROR(SEARCH(("Contrato Câmbio / Swift"),(A106))))</formula>
    </cfRule>
  </conditionalFormatting>
  <conditionalFormatting sqref="A106">
    <cfRule type="containsText" dxfId="25" priority="50" operator="containsText" text="Recibo original">
      <formula>NOT(ISERROR(SEARCH(("Recibo original"),(A106))))</formula>
    </cfRule>
  </conditionalFormatting>
  <conditionalFormatting sqref="A114 A126:A127 A129:A131 A120:A121">
    <cfRule type="cellIs" dxfId="24" priority="6" operator="equal">
      <formula>"Swift"</formula>
    </cfRule>
  </conditionalFormatting>
  <conditionalFormatting sqref="A114 A126:A127 A129:A131 A120:A121">
    <cfRule type="containsText" dxfId="23" priority="7" operator="containsText" text="Invoice">
      <formula>NOT(ISERROR(SEARCH(("Invoice"),(A114))))</formula>
    </cfRule>
  </conditionalFormatting>
  <conditionalFormatting sqref="A114 A126:A127 A129:A131 A120:A121">
    <cfRule type="containsText" dxfId="22" priority="8" operator="containsText" text="Outros (especificar)">
      <formula>NOT(ISERROR(SEARCH(("Outros (especificar)"),(A114))))</formula>
    </cfRule>
  </conditionalFormatting>
  <conditionalFormatting sqref="A114 A126:A127 A129:A131 A120:A121">
    <cfRule type="containsText" dxfId="21" priority="9" operator="containsText" text="Contrato Câmbio / Swift">
      <formula>NOT(ISERROR(SEARCH(("Contrato Câmbio / Swift"),(A114))))</formula>
    </cfRule>
  </conditionalFormatting>
  <conditionalFormatting sqref="A114 A126:A127 A129:A131 A120:A121">
    <cfRule type="containsText" dxfId="20" priority="10" operator="containsText" text="Recibo original">
      <formula>NOT(ISERROR(SEARCH(("Recibo original"),(A114))))</formula>
    </cfRule>
  </conditionalFormatting>
  <conditionalFormatting sqref="A123">
    <cfRule type="cellIs" dxfId="19" priority="11" operator="equal">
      <formula>"Swift"</formula>
    </cfRule>
  </conditionalFormatting>
  <conditionalFormatting sqref="A123">
    <cfRule type="containsText" dxfId="18" priority="12" operator="containsText" text="Invoice">
      <formula>NOT(ISERROR(SEARCH(("Invoice"),(A123))))</formula>
    </cfRule>
  </conditionalFormatting>
  <conditionalFormatting sqref="A123">
    <cfRule type="containsText" dxfId="17" priority="13" operator="containsText" text="Outros (especificar)">
      <formula>NOT(ISERROR(SEARCH(("Outros (especificar)"),(A123))))</formula>
    </cfRule>
  </conditionalFormatting>
  <conditionalFormatting sqref="A123">
    <cfRule type="containsText" dxfId="16" priority="14" operator="containsText" text="Contrato Câmbio / Swift">
      <formula>NOT(ISERROR(SEARCH(("Contrato Câmbio / Swift"),(A123))))</formula>
    </cfRule>
  </conditionalFormatting>
  <conditionalFormatting sqref="A123">
    <cfRule type="containsText" dxfId="15" priority="15" operator="containsText" text="Recibo original">
      <formula>NOT(ISERROR(SEARCH(("Recibo original"),(A123))))</formula>
    </cfRule>
  </conditionalFormatting>
  <conditionalFormatting sqref="A116">
    <cfRule type="cellIs" dxfId="14" priority="16" operator="equal">
      <formula>"Swift"</formula>
    </cfRule>
  </conditionalFormatting>
  <conditionalFormatting sqref="A116">
    <cfRule type="containsText" dxfId="13" priority="17" operator="containsText" text="Invoice">
      <formula>NOT(ISERROR(SEARCH(("Invoice"),(A116))))</formula>
    </cfRule>
  </conditionalFormatting>
  <conditionalFormatting sqref="A116">
    <cfRule type="containsText" dxfId="12" priority="18" operator="containsText" text="Outros (especificar)">
      <formula>NOT(ISERROR(SEARCH(("Outros (especificar)"),(A116))))</formula>
    </cfRule>
  </conditionalFormatting>
  <conditionalFormatting sqref="A116">
    <cfRule type="containsText" dxfId="11" priority="19" operator="containsText" text="Contrato Câmbio / Swift">
      <formula>NOT(ISERROR(SEARCH(("Contrato Câmbio / Swift"),(A116))))</formula>
    </cfRule>
  </conditionalFormatting>
  <conditionalFormatting sqref="A116">
    <cfRule type="containsText" dxfId="10" priority="20" operator="containsText" text="Recibo original">
      <formula>NOT(ISERROR(SEARCH(("Recibo original"),(A116))))</formula>
    </cfRule>
  </conditionalFormatting>
  <conditionalFormatting sqref="A119">
    <cfRule type="cellIs" dxfId="9" priority="21" operator="equal">
      <formula>"Swift"</formula>
    </cfRule>
  </conditionalFormatting>
  <conditionalFormatting sqref="A119">
    <cfRule type="containsText" dxfId="8" priority="22" operator="containsText" text="Invoice">
      <formula>NOT(ISERROR(SEARCH(("Invoice"),(A119))))</formula>
    </cfRule>
  </conditionalFormatting>
  <conditionalFormatting sqref="A119">
    <cfRule type="containsText" dxfId="7" priority="23" operator="containsText" text="Outros (especificar)">
      <formula>NOT(ISERROR(SEARCH(("Outros (especificar)"),(A119))))</formula>
    </cfRule>
  </conditionalFormatting>
  <conditionalFormatting sqref="A119">
    <cfRule type="containsText" dxfId="6" priority="24" operator="containsText" text="Contrato Câmbio / Swift">
      <formula>NOT(ISERROR(SEARCH(("Contrato Câmbio / Swift"),(A119))))</formula>
    </cfRule>
  </conditionalFormatting>
  <conditionalFormatting sqref="A119">
    <cfRule type="containsText" dxfId="5" priority="25" operator="containsText" text="Recibo original">
      <formula>NOT(ISERROR(SEARCH(("Recibo original"),(A119))))</formula>
    </cfRule>
  </conditionalFormatting>
  <conditionalFormatting sqref="A136:A137 A134">
    <cfRule type="cellIs" dxfId="4" priority="1" operator="equal">
      <formula>"Swift"</formula>
    </cfRule>
  </conditionalFormatting>
  <conditionalFormatting sqref="A136:A137 A134">
    <cfRule type="containsText" dxfId="3" priority="2" operator="containsText" text="Invoice">
      <formula>NOT(ISERROR(SEARCH(("Invoice"),(A134))))</formula>
    </cfRule>
  </conditionalFormatting>
  <conditionalFormatting sqref="A136:A137 A134">
    <cfRule type="containsText" dxfId="2" priority="3" operator="containsText" text="Outros (especificar)">
      <formula>NOT(ISERROR(SEARCH(("Outros (especificar)"),(A134))))</formula>
    </cfRule>
  </conditionalFormatting>
  <conditionalFormatting sqref="A136:A137 A134">
    <cfRule type="containsText" dxfId="1" priority="4" operator="containsText" text="Contrato Câmbio / Swift">
      <formula>NOT(ISERROR(SEARCH(("Contrato Câmbio / Swift"),(A134))))</formula>
    </cfRule>
  </conditionalFormatting>
  <conditionalFormatting sqref="A136:A137 A134">
    <cfRule type="containsText" dxfId="0" priority="5" operator="containsText" text="Recibo original">
      <formula>NOT(ISERROR(SEARCH(("Recibo original"),(A134))))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CBBoxe Brasil</dc:creator>
  <cp:lastModifiedBy>Novo</cp:lastModifiedBy>
  <dcterms:created xsi:type="dcterms:W3CDTF">2021-01-26T18:00:09Z</dcterms:created>
  <dcterms:modified xsi:type="dcterms:W3CDTF">2021-01-26T20:55:18Z</dcterms:modified>
</cp:coreProperties>
</file>