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s\Desktop\CERTIDAO MINISTERIO 2023\"/>
    </mc:Choice>
  </mc:AlternateContent>
  <xr:revisionPtr revIDLastSave="0" documentId="8_{7F731201-D7A2-4A16-95FE-604024F598D0}" xr6:coauthVersionLast="47" xr6:coauthVersionMax="47" xr10:uidLastSave="{00000000-0000-0000-0000-000000000000}"/>
  <bookViews>
    <workbookView xWindow="-108" yWindow="-108" windowWidth="23256" windowHeight="12456" xr2:uid="{341F31BC-08CE-4040-9537-7975D61C5F0A}"/>
  </bookViews>
  <sheets>
    <sheet name="FORNECEDORES EM GERAL" sheetId="1" r:id="rId1"/>
    <sheet name="ATLETAS" sheetId="2" r:id="rId2"/>
    <sheet name="RECURSOS HUMANOS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3" l="1"/>
  <c r="E24" i="3"/>
  <c r="E8" i="3"/>
  <c r="E19" i="3"/>
  <c r="E3" i="3"/>
  <c r="E6" i="3"/>
  <c r="E13" i="3"/>
  <c r="E4" i="3"/>
  <c r="E9" i="3"/>
  <c r="E5" i="3"/>
  <c r="E17" i="3"/>
  <c r="E16" i="3"/>
  <c r="E15" i="3"/>
  <c r="E25" i="3"/>
  <c r="E14" i="3"/>
  <c r="E11" i="3"/>
  <c r="E7" i="3"/>
  <c r="E12" i="3"/>
  <c r="E27" i="3"/>
  <c r="E20" i="3"/>
  <c r="E10" i="3"/>
  <c r="E22" i="3"/>
  <c r="E23" i="3"/>
  <c r="E21" i="3"/>
  <c r="E18" i="3"/>
  <c r="E28" i="2"/>
  <c r="E8" i="2"/>
  <c r="E22" i="2"/>
  <c r="E23" i="2"/>
  <c r="E35" i="2"/>
  <c r="E34" i="2"/>
  <c r="E14" i="2"/>
  <c r="E20" i="2"/>
  <c r="E33" i="2"/>
  <c r="E17" i="2"/>
  <c r="E27" i="2"/>
  <c r="E36" i="2"/>
  <c r="E40" i="2"/>
  <c r="E13" i="2"/>
  <c r="E30" i="2"/>
  <c r="E12" i="2"/>
  <c r="E39" i="2"/>
  <c r="E31" i="2"/>
  <c r="E16" i="2"/>
  <c r="E38" i="2"/>
  <c r="E6" i="2"/>
  <c r="E26" i="2"/>
  <c r="E5" i="2"/>
  <c r="E25" i="2"/>
  <c r="E19" i="2"/>
  <c r="E9" i="2"/>
  <c r="E21" i="2"/>
  <c r="E15" i="2"/>
  <c r="E18" i="2"/>
  <c r="E32" i="2"/>
  <c r="E29" i="2"/>
  <c r="E37" i="2"/>
  <c r="E24" i="2"/>
  <c r="E7" i="2"/>
  <c r="E3" i="2"/>
  <c r="E11" i="2"/>
  <c r="E10" i="2"/>
  <c r="E41" i="2"/>
  <c r="E4" i="2"/>
  <c r="G100" i="1" l="1"/>
  <c r="G88" i="1"/>
  <c r="G98" i="1"/>
  <c r="G76" i="1"/>
  <c r="G50" i="1"/>
  <c r="G43" i="1"/>
  <c r="G38" i="1"/>
  <c r="G46" i="1"/>
  <c r="G33" i="1"/>
  <c r="G81" i="1"/>
  <c r="G26" i="1"/>
  <c r="G70" i="1"/>
  <c r="G13" i="1"/>
  <c r="G51" i="1"/>
  <c r="G48" i="1"/>
  <c r="G68" i="1"/>
  <c r="G47" i="1"/>
  <c r="G19" i="1"/>
  <c r="G27" i="1"/>
  <c r="G62" i="1"/>
  <c r="G80" i="1"/>
  <c r="G89" i="1"/>
  <c r="G6" i="1"/>
  <c r="G92" i="1"/>
  <c r="G72" i="1"/>
  <c r="G85" i="1"/>
  <c r="G18" i="1"/>
  <c r="G82" i="1"/>
  <c r="G5" i="1"/>
  <c r="G86" i="1"/>
  <c r="G99" i="1"/>
  <c r="G28" i="1"/>
  <c r="G34" i="1"/>
  <c r="G39" i="1"/>
  <c r="G78" i="1"/>
  <c r="G54" i="1"/>
  <c r="G64" i="1"/>
  <c r="G10" i="1"/>
  <c r="G55" i="1"/>
  <c r="G41" i="1"/>
  <c r="G11" i="1"/>
  <c r="G49" i="1"/>
  <c r="G36" i="1"/>
  <c r="G90" i="1"/>
  <c r="G83" i="1"/>
  <c r="G67" i="1"/>
  <c r="G31" i="1"/>
  <c r="G56" i="1"/>
  <c r="G42" i="1"/>
  <c r="G35" i="1"/>
  <c r="G91" i="1"/>
  <c r="G8" i="1"/>
  <c r="G75" i="1"/>
  <c r="G4" i="1"/>
  <c r="G12" i="1"/>
  <c r="G9" i="1"/>
  <c r="G20" i="1"/>
  <c r="G17" i="1"/>
  <c r="G14" i="1"/>
  <c r="G21" i="1"/>
  <c r="G84" i="1"/>
  <c r="G73" i="1"/>
  <c r="G7" i="1"/>
  <c r="G37" i="1"/>
  <c r="G57" i="1"/>
  <c r="G63" i="1"/>
  <c r="G44" i="1"/>
  <c r="G59" i="1"/>
  <c r="G58" i="1"/>
  <c r="G40" i="1"/>
  <c r="G3" i="1"/>
</calcChain>
</file>

<file path=xl/sharedStrings.xml><?xml version="1.0" encoding="utf-8"?>
<sst xmlns="http://schemas.openxmlformats.org/spreadsheetml/2006/main" count="860" uniqueCount="355">
  <si>
    <t>CR TURISMO LTDA</t>
  </si>
  <si>
    <t>09.452.599/0001-79</t>
  </si>
  <si>
    <t>FABIO FERREIRA DA SILVA 42596376814</t>
  </si>
  <si>
    <t>40.926.680/0001-93</t>
  </si>
  <si>
    <t>ALTITUDE ZERO CONFECÇÕES LTDA</t>
  </si>
  <si>
    <t>60.219.672/0001-14</t>
  </si>
  <si>
    <t>CT COMERCIO DE EQUIPAMENTOS ESPORTIVOS</t>
  </si>
  <si>
    <t>36.665.957/0001-02</t>
  </si>
  <si>
    <t>RJ21 PRODUCAO E PROMOCAO DE EVENTOS LTDA</t>
  </si>
  <si>
    <t>43.850.188/0001-70</t>
  </si>
  <si>
    <t>SONIMED DIAGNOSTICO MEDICO LTDA</t>
  </si>
  <si>
    <t>52.369.931/0001-65</t>
  </si>
  <si>
    <t>CR DIAGNOSTICOS MEDICOS LTDA</t>
  </si>
  <si>
    <t>16.985.840/0006-03</t>
  </si>
  <si>
    <t>DARCY HELENO VICTORIO</t>
  </si>
  <si>
    <t>08.238.296/0001-95</t>
  </si>
  <si>
    <t>ANA C DE SOUZA ( TRAVESSEIRO IDEAL)</t>
  </si>
  <si>
    <t>30.506.728/0001-50</t>
  </si>
  <si>
    <t>IGUASPORT LTDA (DECATHLON)</t>
  </si>
  <si>
    <t>02.314.041/0021-21</t>
  </si>
  <si>
    <t>VERIDIANA MARTINS (LEGNO)</t>
  </si>
  <si>
    <t>26.061.083/0001-12</t>
  </si>
  <si>
    <t>SUPLEY LABORATORIO DE ALIMENTOS NUTRICIONAIS LTDA</t>
  </si>
  <si>
    <t>07.578.713/0004-29</t>
  </si>
  <si>
    <t>AZ CLOTHINNG LTDA</t>
  </si>
  <si>
    <t>47.409.570/0001-01</t>
  </si>
  <si>
    <t>SEMEDIC PRODUTOS MEDICOS HOSPITALARES</t>
  </si>
  <si>
    <t>11.274.275/0001-30</t>
  </si>
  <si>
    <t>DORE DISTRIBUIDORA LTDA ME</t>
  </si>
  <si>
    <t>38.994.781/0001-45</t>
  </si>
  <si>
    <t>A. MALTAROLLO LTDA</t>
  </si>
  <si>
    <t>57.587.701/0001-96</t>
  </si>
  <si>
    <t>A2 COLORS COMUNICACAO VISUAL EIRELI</t>
  </si>
  <si>
    <t>07.293.492/0001-08</t>
  </si>
  <si>
    <t>PET CENTER COMERCIO E PARTICIPACOES S.A.</t>
  </si>
  <si>
    <t>18.328.118/0013-42</t>
  </si>
  <si>
    <t>S&amp;J IMOVEIS LTDA - ME</t>
  </si>
  <si>
    <t>10.594.376/0001-25</t>
  </si>
  <si>
    <t>NOVASOLAR EMPREENDIMENTOS IMOBILIÁRIOS S/C LTDA</t>
  </si>
  <si>
    <t xml:space="preserve">	69.094.845/0001-90</t>
  </si>
  <si>
    <t>POSSI EMPREENDIMENTOS IMOBILIARIOS LTDA - EPP</t>
  </si>
  <si>
    <t>50.863.281/0001-84</t>
  </si>
  <si>
    <t>MACHADO IMOVEIS EIRELI</t>
  </si>
  <si>
    <t>43.355.583/0001-86</t>
  </si>
  <si>
    <t xml:space="preserve">GRUPO ELASA </t>
  </si>
  <si>
    <t>18.296.443/0001-37</t>
  </si>
  <si>
    <t>CLARO S/A</t>
  </si>
  <si>
    <t>40.432.544/0001-47</t>
  </si>
  <si>
    <t>MILENIO PAES E DOCES LTDA - EPP</t>
  </si>
  <si>
    <t xml:space="preserve">	03.589.725/0001-55</t>
  </si>
  <si>
    <t>E.S.P. MATERIAIS ELÉTRICOS EIRELI</t>
  </si>
  <si>
    <t>23.056.809/0001-30</t>
  </si>
  <si>
    <t>COOPERATIVA UNIAO SERV DOS TAXISTAS AUTONOMOS DE S.P.</t>
  </si>
  <si>
    <t>59.558.411/0001-40</t>
  </si>
  <si>
    <t>ALBION DISTRIBUIDORA E COMERCIO DE AGUA LTDA</t>
  </si>
  <si>
    <t>57.313.447/0001-38</t>
  </si>
  <si>
    <t>GRUPO SAFETY SERVIÇOS MEDICOS ESPECIALIZADOS LTDA</t>
  </si>
  <si>
    <t>09.653.893/0001-49</t>
  </si>
  <si>
    <t>CIA DE SANEAMENTO BÁSICO DO ESTADO DE SÃO PAULO SABESP</t>
  </si>
  <si>
    <t xml:space="preserve">	43.776.517/0001-80</t>
  </si>
  <si>
    <t>ELETROPAULO METROPOLITANA ELETRICIDADE DE SÃO PAULO S.A.</t>
  </si>
  <si>
    <t>61.695.227/0001-93</t>
  </si>
  <si>
    <t>TELEFÔNICA BRASIL S.A</t>
  </si>
  <si>
    <t xml:space="preserve">	02.558.157/0001-62</t>
  </si>
  <si>
    <t>TAP PROGRAMACAO E COMUNICACAO LTDA</t>
  </si>
  <si>
    <t>45.955.529/0001-05</t>
  </si>
  <si>
    <t>ALLIANZ SEGUROS S/A</t>
  </si>
  <si>
    <t>61.573.796/0001-66</t>
  </si>
  <si>
    <t>LOCAWEB SERVICOS DE INTERNET AS</t>
  </si>
  <si>
    <t>02.351.877/0001-52</t>
  </si>
  <si>
    <t>TUTOIA EXPRESS SERVIÇOS POSTAIS LTDA - EPP</t>
  </si>
  <si>
    <t>00.011.835/0001-47</t>
  </si>
  <si>
    <t>ALAN AMADOR DE OLIVEIRA PRETO 35921214809</t>
  </si>
  <si>
    <t>35.679.334/0001-18</t>
  </si>
  <si>
    <t>WILLIAM OLIVEIRA DA SILVA</t>
  </si>
  <si>
    <t>36.796.648/0001-63</t>
  </si>
  <si>
    <t>KARIN GOMES DA COSTA</t>
  </si>
  <si>
    <t>170.805.778-10</t>
  </si>
  <si>
    <t>RMG SERVIÇOS CONTÁBEIS LTDA ME</t>
  </si>
  <si>
    <t>07.157.237/0001-20</t>
  </si>
  <si>
    <t>CONDOMINIO DO EDIFICIO GAETANO SEGRETO</t>
  </si>
  <si>
    <t>40.230.849/0001-76</t>
  </si>
  <si>
    <t>JR COMUNICAÇÃO E PUBLICIDADE LTDA</t>
  </si>
  <si>
    <t xml:space="preserve">	11.178.322/0001-41</t>
  </si>
  <si>
    <t>IGUASSU AMBULANCIAS - EIRELI</t>
  </si>
  <si>
    <t>18.911.304/0001-76</t>
  </si>
  <si>
    <t>MMC IGUASSU VIAGENS LTDA</t>
  </si>
  <si>
    <t>06.024.845/0001-01</t>
  </si>
  <si>
    <t>J. C. FRANCO COMERCIAL ME</t>
  </si>
  <si>
    <t>19.766.862/0001-58</t>
  </si>
  <si>
    <t>EDSON HEITOR DA SILVA</t>
  </si>
  <si>
    <t>24.244.120/0001-00</t>
  </si>
  <si>
    <t>KALUNGA COM. E IND. GRÁFICA LTDA</t>
  </si>
  <si>
    <t>43.283.811/0012-02</t>
  </si>
  <si>
    <t>DR SUPRIMENTOS PARA INFORMATICA EIRELI</t>
  </si>
  <si>
    <t>10.220.484/0001-38</t>
  </si>
  <si>
    <t>NESTLE BRASIL LTDA</t>
  </si>
  <si>
    <t>60.409.075/0100-34</t>
  </si>
  <si>
    <t>SUPRICORP SUPRIMENTOS LTDA (GIMBA)</t>
  </si>
  <si>
    <t>54.651.716/0001-88</t>
  </si>
  <si>
    <t>MAGAZINE LUIZA S/A</t>
  </si>
  <si>
    <t>47.960.950/0001-21</t>
  </si>
  <si>
    <t>AMERICAN MEDICAL DO BRASIL LTDA (SANNY)</t>
  </si>
  <si>
    <t>01.912.177/0001-27</t>
  </si>
  <si>
    <t>NILSA PEREIRA FREITAS ME</t>
  </si>
  <si>
    <t>96.447.677/0001-41</t>
  </si>
  <si>
    <t>H2O PURIFICADORES E REFIL DE AGUA EIRELI</t>
  </si>
  <si>
    <t>18.652.408/0001-03</t>
  </si>
  <si>
    <t>COTAÇÃO D.T.V.M. S/A</t>
  </si>
  <si>
    <t xml:space="preserve">	17.354.911/0001-10</t>
  </si>
  <si>
    <t>LEROY MERLIN COMPANHIA BRASILEIRA DE BRICOLAGEM</t>
  </si>
  <si>
    <t>01.438.784/0048-60</t>
  </si>
  <si>
    <t>EXPRESSO TRANSGOMES LTDA</t>
  </si>
  <si>
    <t>02.554.926/0001-54</t>
  </si>
  <si>
    <t>VIA S.A.</t>
  </si>
  <si>
    <t>33.041.260/0652-90</t>
  </si>
  <si>
    <t>FERNANDES EQUIPAMENTOS PARA FISIOTERAPIA EIRELI</t>
  </si>
  <si>
    <t>57.449.993/0001-09</t>
  </si>
  <si>
    <t>CASCO&amp;CAMPOS COMERCIO DE PRODUTOS ESPORTIVOS LTDA (ENDURANCE)</t>
  </si>
  <si>
    <t>05.935.018/0001-07</t>
  </si>
  <si>
    <t>LUZ MARINA DE SOUZA</t>
  </si>
  <si>
    <t>744.165.297-91</t>
  </si>
  <si>
    <t>DALLE VEDOVE BARBOSA EIRELI</t>
  </si>
  <si>
    <t>00.246.732/0001-66</t>
  </si>
  <si>
    <t>SILVA CAMPOS ESPORTES EIRELI</t>
  </si>
  <si>
    <t>31.304.371/0001-90</t>
  </si>
  <si>
    <t>IKON ACRILICOS LTDA</t>
  </si>
  <si>
    <t>43.565.969/0001-12</t>
  </si>
  <si>
    <t>EO7 AUDITORES INDEPENDENTES LTDA</t>
  </si>
  <si>
    <t xml:space="preserve">	33.152.392/0001-63</t>
  </si>
  <si>
    <t>CNBX COPY COLOR SERVICOS DE COPIAS SS LTDA</t>
  </si>
  <si>
    <t>01.987.658/0001-00</t>
  </si>
  <si>
    <t>DELL COMPUTADORES DO BRASIL LTDA</t>
  </si>
  <si>
    <t>72.381.189/0006-25</t>
  </si>
  <si>
    <t>FW SERVICOS TERCEIRIZADOS LTDA</t>
  </si>
  <si>
    <t>29.805.861/0001-29</t>
  </si>
  <si>
    <t>BIG MIDIA LTDA</t>
  </si>
  <si>
    <t>09.141.349/0001-18</t>
  </si>
  <si>
    <t>SERASA CENTRAL DE SERV DOS BANCOS (SERASA S.A)</t>
  </si>
  <si>
    <t>62.173.620/0001-80</t>
  </si>
  <si>
    <t>SIMIONI PRESTADORA DE SERVICOS EIRELI</t>
  </si>
  <si>
    <t>24.375.561/0001-33</t>
  </si>
  <si>
    <t>GSFORTE SERVICOS DE MAO DE OBRA EIRELI</t>
  </si>
  <si>
    <t>33.771.207/0001-19</t>
  </si>
  <si>
    <t>KLOSIENSKI &amp; CARVALHO LTDA</t>
  </si>
  <si>
    <t>25.067.639/0001-15</t>
  </si>
  <si>
    <t>MKS IMPORTACAO E COMERCIO LTDA</t>
  </si>
  <si>
    <t>00.324.823/0001-72</t>
  </si>
  <si>
    <t>FAST SHOP S.A</t>
  </si>
  <si>
    <t>43.708.379/0001-00</t>
  </si>
  <si>
    <t>AMERICANAS S/A</t>
  </si>
  <si>
    <t>00.776.574/0001-56</t>
  </si>
  <si>
    <t>OFICINA GERAL S POSTAIS LTDA</t>
  </si>
  <si>
    <t>66.857.111/0001-27</t>
  </si>
  <si>
    <t>INF INSTITUTO DE CONTABILIDADE NOSSA SENHORA DE FATIMA LTDA</t>
  </si>
  <si>
    <t>29.034.901/0001-86</t>
  </si>
  <si>
    <t>CFR INFORMATICA LTDA (VERSA CARTUCHOS)</t>
  </si>
  <si>
    <t>31.951.749/0001-48</t>
  </si>
  <si>
    <t>NEUGEN SOLUCOES MOLECULARES LTDA</t>
  </si>
  <si>
    <t>29.079.932/0001-53</t>
  </si>
  <si>
    <t>MOBLY COMERCIO VAREJISTA LTDA.</t>
  </si>
  <si>
    <t>14.055.516/0004-90</t>
  </si>
  <si>
    <t>DAVID DE MATTOS MERIZIO 05107062822</t>
  </si>
  <si>
    <t>43.418.835/0001-79</t>
  </si>
  <si>
    <t>ANJOS PARCEIROS DA VIDA EMERGENCIAS MEDICAS LTDA</t>
  </si>
  <si>
    <t>30.615.634/0001-10</t>
  </si>
  <si>
    <t>CONSELHO REGIONAL DE EDUCAÇÃO FISICA</t>
  </si>
  <si>
    <t>03.566,870/0001-10</t>
  </si>
  <si>
    <t>F X CONFECCAO EIRELI</t>
  </si>
  <si>
    <t>23.038.885/0001-13</t>
  </si>
  <si>
    <t>DUTRA MAQUINAS COMERCIAL E TECNICA LTDA</t>
  </si>
  <si>
    <t>50.970.342/0001-02</t>
  </si>
  <si>
    <t>BARCELLOS SERVICOS DE ENTRETENIMENTO LTDA</t>
  </si>
  <si>
    <t>44.606.520/0001-18</t>
  </si>
  <si>
    <t>AGDA SERVICOS DE ENGENHARIA E MANUTENCAO LTDA</t>
  </si>
  <si>
    <t>46.020.622/0001-82</t>
  </si>
  <si>
    <t>XL ARTES CENICAS, PRODUCOES E EVENTOS CULTURAIS EIRELI</t>
  </si>
  <si>
    <t>15.778.322/0001-33</t>
  </si>
  <si>
    <t>ANTONIO APARECIDO DANTAS &amp; IRMAO LTDA</t>
  </si>
  <si>
    <t>81.711.004/0001-80</t>
  </si>
  <si>
    <t>STAGELIVE SONORIZACAO E ILUMINACAO LTDA.</t>
  </si>
  <si>
    <t>15.057.186/0001-92</t>
  </si>
  <si>
    <t>JARDIM EXOTICO MUDAS LTDA</t>
  </si>
  <si>
    <t>38.067.218/0001-36</t>
  </si>
  <si>
    <t>BRS SP SUPRIMENTOS CORPORATIVOS S/A</t>
  </si>
  <si>
    <t>03.746.938/0001-43</t>
  </si>
  <si>
    <t>ROCA ARQUITETURA LTDA</t>
  </si>
  <si>
    <t>08.209.056/0001-62</t>
  </si>
  <si>
    <t>ZAS QUALIDADE DE VIDA, SAUDE E EVENTOS LTDA ME</t>
  </si>
  <si>
    <t>09.204.175/0001-95</t>
  </si>
  <si>
    <t>PARTE</t>
  </si>
  <si>
    <t>CNPJ</t>
  </si>
  <si>
    <t>Instrumento de contratação</t>
  </si>
  <si>
    <t>Modalidade de contratação</t>
  </si>
  <si>
    <t>Prazo de vigência</t>
  </si>
  <si>
    <t>Pagamento total anual</t>
  </si>
  <si>
    <t>Agência de Turismo (viagens e reservas)</t>
  </si>
  <si>
    <t>Pregão Eletrônico</t>
  </si>
  <si>
    <t>Contrato</t>
  </si>
  <si>
    <t>01/01/2022 - 31/12/2023</t>
  </si>
  <si>
    <t>Alimentação Atletas</t>
  </si>
  <si>
    <t>Serviços de Cambio e Remessas</t>
  </si>
  <si>
    <t>Produção de eventos (Campeonatos)</t>
  </si>
  <si>
    <t>Uniformes</t>
  </si>
  <si>
    <t>Serviços de Taxi</t>
  </si>
  <si>
    <t>Aluguel (casas atletas)</t>
  </si>
  <si>
    <t>Serviços de Telefonia</t>
  </si>
  <si>
    <t>Materiais Esportivos</t>
  </si>
  <si>
    <t>Prestação de contas específica (ME)</t>
  </si>
  <si>
    <t>Fretes e transportes</t>
  </si>
  <si>
    <t>Serviços de dados de internet</t>
  </si>
  <si>
    <t>Serviços de ambulância para eventos</t>
  </si>
  <si>
    <t>Material de escritório</t>
  </si>
  <si>
    <t>Serviços de limpeza</t>
  </si>
  <si>
    <t>Assessoria contábil e RH</t>
  </si>
  <si>
    <t>Água e esgoto</t>
  </si>
  <si>
    <t>Manutenção geral</t>
  </si>
  <si>
    <t>Suplemento alimentar atletas</t>
  </si>
  <si>
    <t>Serviços de transmissão de eventos</t>
  </si>
  <si>
    <t>Serviços médicos</t>
  </si>
  <si>
    <t>Materias de reparo e construção</t>
  </si>
  <si>
    <t>Despachante</t>
  </si>
  <si>
    <t>Serviços reprográficos</t>
  </si>
  <si>
    <t>Serviços de internet</t>
  </si>
  <si>
    <t>Serviços de reprografia</t>
  </si>
  <si>
    <t>Material médico</t>
  </si>
  <si>
    <t>Materia de Jardinagem</t>
  </si>
  <si>
    <t>Serviços cartoriais</t>
  </si>
  <si>
    <t>Camas e colchões</t>
  </si>
  <si>
    <t>Serviços gráficos (credenciais)</t>
  </si>
  <si>
    <t xml:space="preserve">Alimentação  </t>
  </si>
  <si>
    <t>Taxa condominial</t>
  </si>
  <si>
    <t>Luz</t>
  </si>
  <si>
    <t>Manutenção de software e computador</t>
  </si>
  <si>
    <t>Serviços Médicos</t>
  </si>
  <si>
    <t>Serviços de assessoramento de viagem</t>
  </si>
  <si>
    <t>Manutenção Predial</t>
  </si>
  <si>
    <t>Auditoria independente</t>
  </si>
  <si>
    <t>Publicações oficiais</t>
  </si>
  <si>
    <t>Compra computadores</t>
  </si>
  <si>
    <t>Materiais médicos</t>
  </si>
  <si>
    <t>Seguro de vida atletas</t>
  </si>
  <si>
    <t>Serviços de informática</t>
  </si>
  <si>
    <t>Serviços de contabilidade e RH</t>
  </si>
  <si>
    <t>Taxas diversas</t>
  </si>
  <si>
    <t>Serviços de Correio</t>
  </si>
  <si>
    <t xml:space="preserve">Água  </t>
  </si>
  <si>
    <t>Licitação simplificada - 3 Orçamentos</t>
  </si>
  <si>
    <t>Ordem de serviço</t>
  </si>
  <si>
    <t>PLANILHA ANALÍTICA DE GASTOS - FORNECEDORES EM GERAL</t>
  </si>
  <si>
    <t>Total</t>
  </si>
  <si>
    <t>TIPO DE SERVIÇO</t>
  </si>
  <si>
    <t>CONTRATO ATLETAS 2022</t>
  </si>
  <si>
    <t>CPF</t>
  </si>
  <si>
    <t>VIGÊNCIA</t>
  </si>
  <si>
    <t>ABNER TEIXEIRA DA SILVA JUNIOR</t>
  </si>
  <si>
    <t>ALYSSON PEIXOTO DA SILVA</t>
  </si>
  <si>
    <t>BARBARA MARIA DOS SANTOS</t>
  </si>
  <si>
    <t>BEATRIZ GABRIELLE GOMES OLIVEIRA SOARES</t>
  </si>
  <si>
    <t>BEATRIZ IASMIM SOARES FERREIRA</t>
  </si>
  <si>
    <t>CAROLINE BARBOSA DE ALMEIDA</t>
  </si>
  <si>
    <t>FELIPE DE OLIVEIRA IGNACIO</t>
  </si>
  <si>
    <t>GIOVANNA LETICIA FLORENTINI FURTADO</t>
  </si>
  <si>
    <t>HAZIEL KRISHNA FRANCO CRISPIM BONFIM DOS SANTOS</t>
  </si>
  <si>
    <t>HEBERT BANDEIRA SOARES</t>
  </si>
  <si>
    <t>ISAIAS SANTOS RIBEIRO FILHO</t>
  </si>
  <si>
    <t>JHONATAN CONCEIÇÃO DE OLIVIERA SOARES</t>
  </si>
  <si>
    <t>JOEL RAMOS DA SILVA</t>
  </si>
  <si>
    <t>JUCIELEN CERQUEIRA ROMEU</t>
  </si>
  <si>
    <t>JULIA VITORIA DE ALMEIDA SILVA ALVES</t>
  </si>
  <si>
    <t>KAIAN OLIVEIRA REIS</t>
  </si>
  <si>
    <t>KENO MARLEY MACHADO</t>
  </si>
  <si>
    <t>LUIZ FELIPE NINES DE CARVALHO</t>
  </si>
  <si>
    <t>LUIZ GABRIEL DO NASCIMENTO CHALOT DE OLIVEIRA</t>
  </si>
  <si>
    <t>MARIA EDUARDA DE JESUS</t>
  </si>
  <si>
    <t>MICHAEL DOUGLAS DA SILVA TRINDADE</t>
  </si>
  <si>
    <t>PABLO ALEXANDRE SOUZA MAIA CAPISTRANO</t>
  </si>
  <si>
    <t>RAFAELA MARQUES SILVA</t>
  </si>
  <si>
    <t>RAMON BATAGELLO SOUZA</t>
  </si>
  <si>
    <t>RAMON SANTOS DA CONCEIÇÃO</t>
  </si>
  <si>
    <t>REBECA DE LIMA SANTOS</t>
  </si>
  <si>
    <t>RIAN WALISON SOUSA MELO</t>
  </si>
  <si>
    <t>RICARDO CANDIDO DE OLIVEIRA FILHO</t>
  </si>
  <si>
    <t>RONALD ANDRADE RIBEIRO</t>
  </si>
  <si>
    <t>RUAN PABLO DO VALE DE JESUS</t>
  </si>
  <si>
    <t>SAMARA COUTO DOS SANTOS</t>
  </si>
  <si>
    <t>STEFANI MELO DOS SANTOS</t>
  </si>
  <si>
    <t>TATIANA REGINA DE JESUS CHAGAS</t>
  </si>
  <si>
    <t>VICTORIA CRISTINA DE LIMA</t>
  </si>
  <si>
    <t>VINICIUS LIMA DA SILVA</t>
  </si>
  <si>
    <t>VIVIANE DOS SANTOS PEREIRA</t>
  </si>
  <si>
    <t>WANDERLEY DE SOUZA PEREIRA</t>
  </si>
  <si>
    <t>WANDERSON DE OLIVEIRA</t>
  </si>
  <si>
    <t>YURI FALCAO DOS REIS</t>
  </si>
  <si>
    <t>Dado protegido LGPD</t>
  </si>
  <si>
    <t>Modo de contratação</t>
  </si>
  <si>
    <t>Contrato de atleta não profissional</t>
  </si>
  <si>
    <t>01/01/2022 a 31/12/2022</t>
  </si>
  <si>
    <t>Nome</t>
  </si>
  <si>
    <t>Vigência</t>
  </si>
  <si>
    <t>Valor anual</t>
  </si>
  <si>
    <t>NOME</t>
  </si>
  <si>
    <t>CARGO</t>
  </si>
  <si>
    <t>VALOR ANUAL</t>
  </si>
  <si>
    <t>ADAILTON DOS SANTOS GONÇALVES</t>
  </si>
  <si>
    <t>TÉCNICO</t>
  </si>
  <si>
    <t>ALEX LEANDRO CHRISTÃO</t>
  </si>
  <si>
    <t>MASSOTERAPEUTA</t>
  </si>
  <si>
    <t>ANA PAULA TANAKA HAYASHI</t>
  </si>
  <si>
    <t>NUTRICIONISTA</t>
  </si>
  <si>
    <t>BRUNA BARDELLA DE REVOREDO MACEDO SOARES</t>
  </si>
  <si>
    <t>PSICOLOGA</t>
  </si>
  <si>
    <t>CASSIANA HERMANN PISANELLI</t>
  </si>
  <si>
    <t>MEDICO (A)</t>
  </si>
  <si>
    <t>CLAUDINEI RODRIGUES</t>
  </si>
  <si>
    <t>AUXILIAR DE SERVIÇOS GERAIS</t>
  </si>
  <si>
    <t>MARGARETH ZILLESG</t>
  </si>
  <si>
    <t>FABIO CONRADO COSTA</t>
  </si>
  <si>
    <t>FISIOTERAPEUTA</t>
  </si>
  <si>
    <t>FELIPE ROMANO</t>
  </si>
  <si>
    <t>PREPARADOR FÍSICO</t>
  </si>
  <si>
    <t>LEONARDO COSTA MACEDO</t>
  </si>
  <si>
    <t>LUCAS GABRIEL SALES</t>
  </si>
  <si>
    <t>MARCOS FONSECA LAMAS</t>
  </si>
  <si>
    <t>AUXILIAR TECNICO</t>
  </si>
  <si>
    <t>SUELEN  REGINA SOUZA</t>
  </si>
  <si>
    <t>TECNICO</t>
  </si>
  <si>
    <t>VLADSON SOARES PEREIRA</t>
  </si>
  <si>
    <t>PAULA AVAKIAN</t>
  </si>
  <si>
    <t>ANALISTA</t>
  </si>
  <si>
    <t>OTILIO MANUEL OLIVE TOLEDO</t>
  </si>
  <si>
    <t>COORDENADOR TÉCNICO</t>
  </si>
  <si>
    <t>AMANDA PUGLIESE RIBEIRO</t>
  </si>
  <si>
    <t>ASSISTENTE ADMINISTRATIVO</t>
  </si>
  <si>
    <t>CARLOS RENATO SORBILE</t>
  </si>
  <si>
    <t>VICE PRESIDENTE</t>
  </si>
  <si>
    <t>PATRICIA YUI YAMATE</t>
  </si>
  <si>
    <t>ANALISTA ADMINISTRATIVO</t>
  </si>
  <si>
    <t>MAURO JOSE DA SILVA</t>
  </si>
  <si>
    <t>PRESIDENTE/GERENTE ESPORTIVO</t>
  </si>
  <si>
    <t>MARCOS CANDIDO BRITO</t>
  </si>
  <si>
    <t>PRESIDENTE</t>
  </si>
  <si>
    <t>LILIANE DA SILVA TEOFILO</t>
  </si>
  <si>
    <t>AUXILIAR ADMINISTRATIVO</t>
  </si>
  <si>
    <t>ERNESTO JOSE DE MORAIS JUNIOR</t>
  </si>
  <si>
    <t>GERENTE</t>
  </si>
  <si>
    <t>GABRIEL ALMEIDA DE ARAUJO</t>
  </si>
  <si>
    <t>ASSESSOR DE IMPRENSA</t>
  </si>
  <si>
    <t>FERNANDO OSMAR PORTELA FLORES</t>
  </si>
  <si>
    <t>INSTRUMENTO DE CONTRATAÇÃO</t>
  </si>
  <si>
    <t>EMPREGADOS, AUTÔNOMOS E DIRIGENTES ESTATUTÁRIOS</t>
  </si>
  <si>
    <t>Ata eletiva - Termos de posse</t>
  </si>
  <si>
    <t/>
  </si>
  <si>
    <t>CLT</t>
  </si>
  <si>
    <t>PENSIONISTA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</si>
</sst>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rgb="FFFFC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164" fontId="9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0" fillId="0" borderId="6" xfId="0" applyBorder="1"/>
    <xf numFmtId="164" fontId="9" fillId="0" borderId="7" xfId="0" applyNumberFormat="1" applyFont="1" applyBorder="1"/>
    <xf numFmtId="0" fontId="11" fillId="0" borderId="8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164" fontId="2" fillId="0" borderId="11" xfId="0" applyNumberFormat="1" applyFon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/>
    <xf numFmtId="40" fontId="4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14" fillId="0" borderId="1" xfId="0" applyFont="1" applyBorder="1"/>
    <xf numFmtId="0" fontId="4" fillId="0" borderId="1" xfId="0" applyFont="1" applyBorder="1"/>
    <xf numFmtId="0" fontId="7" fillId="4" borderId="1" xfId="0" applyFont="1" applyFill="1" applyBorder="1" applyAlignment="1">
      <alignment horizontal="center"/>
    </xf>
    <xf numFmtId="0" fontId="13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164" fontId="9" fillId="0" borderId="2" xfId="0" applyNumberFormat="1" applyFont="1" applyBorder="1"/>
    <xf numFmtId="0" fontId="8" fillId="0" borderId="2" xfId="0" applyFont="1" applyBorder="1" applyAlignment="1">
      <alignment horizontal="left"/>
    </xf>
    <xf numFmtId="164" fontId="8" fillId="0" borderId="2" xfId="0" applyNumberFormat="1" applyFont="1" applyBorder="1" applyAlignment="1">
      <alignment horizontal="right"/>
    </xf>
    <xf numFmtId="0" fontId="9" fillId="0" borderId="12" xfId="0" applyFont="1" applyBorder="1"/>
    <xf numFmtId="164" fontId="9" fillId="0" borderId="12" xfId="0" applyNumberFormat="1" applyFont="1" applyBorder="1"/>
    <xf numFmtId="0" fontId="9" fillId="0" borderId="1" xfId="0" applyFont="1" applyBorder="1" applyAlignment="1">
      <alignment vertical="center"/>
    </xf>
    <xf numFmtId="4" fontId="9" fillId="0" borderId="1" xfId="0" applyNumberFormat="1" applyFont="1" applyBorder="1"/>
  </cellXfs>
  <cellStyles count="3">
    <cellStyle name="Normal" xfId="0" builtinId="0"/>
    <cellStyle name="Normal 2" xfId="2" xr:uid="{18E73661-7289-449B-B613-59C758FC83AF}"/>
    <cellStyle name="Normal 3" xfId="1" xr:uid="{A373B55F-C2A6-462D-A24F-8BDF8A1ABE6A}"/>
  </cellStyles>
  <dxfs count="39"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447D-C2B1-4584-85C2-3B375C1FF704}">
  <dimension ref="A1:G100"/>
  <sheetViews>
    <sheetView tabSelected="1" workbookViewId="0">
      <selection activeCell="B11" sqref="B11"/>
    </sheetView>
  </sheetViews>
  <sheetFormatPr defaultRowHeight="14.4" x14ac:dyDescent="0.3"/>
  <cols>
    <col min="1" max="1" width="33.6640625" bestFit="1" customWidth="1"/>
    <col min="2" max="2" width="72.33203125" customWidth="1"/>
    <col min="3" max="3" width="20.6640625" bestFit="1" customWidth="1"/>
    <col min="4" max="4" width="34.6640625" style="1" bestFit="1" customWidth="1"/>
    <col min="5" max="5" width="25.5546875" style="1" bestFit="1" customWidth="1"/>
    <col min="6" max="6" width="23.109375" bestFit="1" customWidth="1"/>
    <col min="7" max="7" width="22.88671875" bestFit="1" customWidth="1"/>
  </cols>
  <sheetData>
    <row r="1" spans="1:7" x14ac:dyDescent="0.3">
      <c r="A1" s="14" t="s">
        <v>249</v>
      </c>
      <c r="B1" s="15"/>
      <c r="C1" s="15"/>
      <c r="D1" s="15"/>
      <c r="E1" s="15"/>
      <c r="F1" s="15"/>
      <c r="G1" s="16"/>
    </row>
    <row r="2" spans="1:7" x14ac:dyDescent="0.3">
      <c r="A2" s="17" t="s">
        <v>251</v>
      </c>
      <c r="B2" s="12" t="s">
        <v>190</v>
      </c>
      <c r="C2" s="13" t="s">
        <v>191</v>
      </c>
      <c r="D2" s="13" t="s">
        <v>193</v>
      </c>
      <c r="E2" s="13" t="s">
        <v>192</v>
      </c>
      <c r="F2" s="13" t="s">
        <v>194</v>
      </c>
      <c r="G2" s="18" t="s">
        <v>195</v>
      </c>
    </row>
    <row r="3" spans="1:7" x14ac:dyDescent="0.3">
      <c r="A3" s="19" t="s">
        <v>196</v>
      </c>
      <c r="B3" s="2" t="s">
        <v>0</v>
      </c>
      <c r="C3" s="2" t="s">
        <v>1</v>
      </c>
      <c r="D3" s="3" t="s">
        <v>197</v>
      </c>
      <c r="E3" s="3" t="s">
        <v>198</v>
      </c>
      <c r="F3" s="3" t="s">
        <v>199</v>
      </c>
      <c r="G3" s="20">
        <f>3350.92+1614.64+29285.91+19687.56+44130.76+1850.01+666.07+6604.39+135826.24+3800.02+24905.66+3658.8+823.71+1900.01+13887.94+974.12+59469.74+1900.01+8992.49+3921.69+1085.86+229.14+33947.75+382.21+5853.12+13737.62+9717.54+45000.08+6758.72+12035.19+449.01+4200.01+3736.85+59883.4+4503.9+3200.02+1051.49+19466.9+7813.79+1008.02+367.21+1493.26+4196.1+2990.83+55256.23+2803.82+21000+1204.22+3168.41+4197.38+925.37+14393.4+15771.49+1973.01+536.02+1572.01+92033.21+52713.3+34201.24+21500.01+1805.31+6375.82+4800.01+3707.7+764.81+84593.53+4408.29+1971.21+14500.81+841.84+4800.01+13200.7+1344.13+119871.17+6474.65+129763.98+17316.9+27854.12+3992.2+19586.46+9600.02+25158.8+753.91+753.91+32352.33</f>
        <v>1470200.4499999997</v>
      </c>
    </row>
    <row r="4" spans="1:7" x14ac:dyDescent="0.3">
      <c r="A4" s="19" t="s">
        <v>200</v>
      </c>
      <c r="B4" s="5" t="s">
        <v>48</v>
      </c>
      <c r="C4" s="6" t="s">
        <v>49</v>
      </c>
      <c r="D4" s="3" t="s">
        <v>197</v>
      </c>
      <c r="E4" s="3" t="s">
        <v>198</v>
      </c>
      <c r="F4" s="3" t="s">
        <v>199</v>
      </c>
      <c r="G4" s="20">
        <f>51210.7+49285.45+53000+48169.2+27983.62+49868.6+63500+53969.86+65339.08+54524.82+57948.34+3052.83</f>
        <v>577852.49999999988</v>
      </c>
    </row>
    <row r="5" spans="1:7" x14ac:dyDescent="0.3">
      <c r="A5" s="19" t="s">
        <v>201</v>
      </c>
      <c r="B5" s="7" t="s">
        <v>108</v>
      </c>
      <c r="C5" s="2" t="s">
        <v>109</v>
      </c>
      <c r="D5" s="11" t="s">
        <v>247</v>
      </c>
      <c r="E5" s="3" t="s">
        <v>248</v>
      </c>
      <c r="F5" s="3" t="s">
        <v>199</v>
      </c>
      <c r="G5" s="20">
        <f>57723.12+12439.44+8922.9+4100.4+58.96+117561.8+6425.55+40799.41+37190.7+4527.6+14304.79+16896+2112+209.09+21776.4+4132.98+28644.34+9865.1+105907.5+35913.09+149.05+26826+9252.18+3756.8+211.58</f>
        <v>569706.78</v>
      </c>
    </row>
    <row r="6" spans="1:7" x14ac:dyDescent="0.3">
      <c r="A6" s="19" t="s">
        <v>202</v>
      </c>
      <c r="B6" s="6" t="s">
        <v>122</v>
      </c>
      <c r="C6" s="6" t="s">
        <v>123</v>
      </c>
      <c r="D6" s="11" t="s">
        <v>247</v>
      </c>
      <c r="E6" s="3" t="s">
        <v>248</v>
      </c>
      <c r="F6" s="3" t="s">
        <v>199</v>
      </c>
      <c r="G6" s="20">
        <f>240000+275000</f>
        <v>515000</v>
      </c>
    </row>
    <row r="7" spans="1:7" x14ac:dyDescent="0.3">
      <c r="A7" s="19" t="s">
        <v>203</v>
      </c>
      <c r="B7" s="5" t="s">
        <v>24</v>
      </c>
      <c r="C7" s="8" t="s">
        <v>25</v>
      </c>
      <c r="D7" s="11" t="s">
        <v>247</v>
      </c>
      <c r="E7" s="3" t="s">
        <v>248</v>
      </c>
      <c r="F7" s="3" t="s">
        <v>199</v>
      </c>
      <c r="G7" s="20">
        <f>32770+9025+20790+19040+21669+7613.54</f>
        <v>110907.54</v>
      </c>
    </row>
    <row r="8" spans="1:7" x14ac:dyDescent="0.3">
      <c r="A8" s="19" t="s">
        <v>204</v>
      </c>
      <c r="B8" s="2" t="s">
        <v>52</v>
      </c>
      <c r="C8" s="6" t="s">
        <v>53</v>
      </c>
      <c r="D8" s="9" t="s">
        <v>197</v>
      </c>
      <c r="E8" s="9" t="s">
        <v>198</v>
      </c>
      <c r="F8" s="3" t="s">
        <v>199</v>
      </c>
      <c r="G8" s="20">
        <f>3323.15+4845.43+5537.8+7907.76+10816.92+8105.8+7478.98+7691.62+8877.04+5643.1+8182.02+3775.83</f>
        <v>82185.450000000012</v>
      </c>
    </row>
    <row r="9" spans="1:7" x14ac:dyDescent="0.3">
      <c r="A9" s="19" t="s">
        <v>205</v>
      </c>
      <c r="B9" s="6" t="s">
        <v>44</v>
      </c>
      <c r="C9" s="6" t="s">
        <v>45</v>
      </c>
      <c r="D9" s="9" t="s">
        <v>247</v>
      </c>
      <c r="E9" s="9" t="s">
        <v>248</v>
      </c>
      <c r="F9" s="3" t="s">
        <v>199</v>
      </c>
      <c r="G9" s="20">
        <f>2904.8*2+6000+398.47+3109.39*6+171.05*8+227.42*8+3111.22*6+3000*8</f>
        <v>76719.489999999991</v>
      </c>
    </row>
    <row r="10" spans="1:7" x14ac:dyDescent="0.3">
      <c r="A10" s="19" t="s">
        <v>205</v>
      </c>
      <c r="B10" s="2" t="s">
        <v>2</v>
      </c>
      <c r="C10" s="6" t="s">
        <v>3</v>
      </c>
      <c r="D10" s="9" t="s">
        <v>247</v>
      </c>
      <c r="E10" s="9" t="s">
        <v>248</v>
      </c>
      <c r="F10" s="3" t="s">
        <v>199</v>
      </c>
      <c r="G10" s="20">
        <f>19176.04+3800+14000+24009.8</f>
        <v>60985.84</v>
      </c>
    </row>
    <row r="11" spans="1:7" x14ac:dyDescent="0.3">
      <c r="A11" s="19" t="s">
        <v>205</v>
      </c>
      <c r="B11" s="2" t="s">
        <v>76</v>
      </c>
      <c r="C11" s="6" t="s">
        <v>77</v>
      </c>
      <c r="D11" s="9" t="s">
        <v>247</v>
      </c>
      <c r="E11" s="9" t="s">
        <v>248</v>
      </c>
      <c r="F11" s="3" t="s">
        <v>199</v>
      </c>
      <c r="G11" s="20">
        <f>3845.42*7+873.9*10+3874.07+4235*4</f>
        <v>56471.01</v>
      </c>
    </row>
    <row r="12" spans="1:7" x14ac:dyDescent="0.3">
      <c r="A12" s="19" t="s">
        <v>206</v>
      </c>
      <c r="B12" s="5" t="s">
        <v>46</v>
      </c>
      <c r="C12" s="8" t="s">
        <v>47</v>
      </c>
      <c r="D12" s="9" t="s">
        <v>247</v>
      </c>
      <c r="E12" s="9" t="s">
        <v>248</v>
      </c>
      <c r="F12" s="3" t="s">
        <v>199</v>
      </c>
      <c r="G12" s="20">
        <f>10969.44+125*3+2929.57+3138.56+4227.95+308.99+136.71+2671.75+575+844.93+1942.91+550.51+147.59+2771.12+411.78+115+3115.62+575+135.03+3116.78+521.63+138.84+3258.97+575+4523.65+490.84+3609.83+324.39</f>
        <v>52502.389999999992</v>
      </c>
    </row>
    <row r="13" spans="1:7" x14ac:dyDescent="0.3">
      <c r="A13" s="19" t="s">
        <v>207</v>
      </c>
      <c r="B13" s="6" t="s">
        <v>146</v>
      </c>
      <c r="C13" s="6" t="s">
        <v>147</v>
      </c>
      <c r="D13" s="9" t="s">
        <v>247</v>
      </c>
      <c r="E13" s="9" t="s">
        <v>248</v>
      </c>
      <c r="F13" s="3" t="s">
        <v>199</v>
      </c>
      <c r="G13" s="20">
        <f>33937.16+14682.8+2200</f>
        <v>50819.960000000006</v>
      </c>
    </row>
    <row r="14" spans="1:7" x14ac:dyDescent="0.3">
      <c r="A14" s="19" t="s">
        <v>205</v>
      </c>
      <c r="B14" s="2" t="s">
        <v>38</v>
      </c>
      <c r="C14" s="6" t="s">
        <v>39</v>
      </c>
      <c r="D14" s="9" t="s">
        <v>247</v>
      </c>
      <c r="E14" s="9" t="s">
        <v>248</v>
      </c>
      <c r="F14" s="3" t="s">
        <v>199</v>
      </c>
      <c r="G14" s="20">
        <f>3905.76*11+445.59+191.08*9+3907.65</f>
        <v>49036.32</v>
      </c>
    </row>
    <row r="15" spans="1:7" x14ac:dyDescent="0.3">
      <c r="A15" s="19" t="s">
        <v>208</v>
      </c>
      <c r="B15" s="5" t="s">
        <v>188</v>
      </c>
      <c r="C15" s="8" t="s">
        <v>189</v>
      </c>
      <c r="D15" s="9" t="s">
        <v>247</v>
      </c>
      <c r="E15" s="9" t="s">
        <v>248</v>
      </c>
      <c r="F15" s="3" t="s">
        <v>199</v>
      </c>
      <c r="G15" s="20">
        <v>49000</v>
      </c>
    </row>
    <row r="16" spans="1:7" x14ac:dyDescent="0.3">
      <c r="A16" s="19" t="s">
        <v>202</v>
      </c>
      <c r="B16" s="5" t="s">
        <v>176</v>
      </c>
      <c r="C16" s="8" t="s">
        <v>177</v>
      </c>
      <c r="D16" s="9" t="s">
        <v>247</v>
      </c>
      <c r="E16" s="9" t="s">
        <v>248</v>
      </c>
      <c r="F16" s="3" t="s">
        <v>199</v>
      </c>
      <c r="G16" s="20">
        <v>48000</v>
      </c>
    </row>
    <row r="17" spans="1:7" x14ac:dyDescent="0.3">
      <c r="A17" s="19" t="s">
        <v>205</v>
      </c>
      <c r="B17" s="2" t="s">
        <v>40</v>
      </c>
      <c r="C17" s="6" t="s">
        <v>41</v>
      </c>
      <c r="D17" s="9" t="s">
        <v>247</v>
      </c>
      <c r="E17" s="9" t="s">
        <v>248</v>
      </c>
      <c r="F17" s="3" t="s">
        <v>199</v>
      </c>
      <c r="G17" s="20">
        <f>3048.76*2+737.71+3378.76+333.67*9+3445.93*9</f>
        <v>44230.39</v>
      </c>
    </row>
    <row r="18" spans="1:7" x14ac:dyDescent="0.3">
      <c r="A18" s="19" t="s">
        <v>209</v>
      </c>
      <c r="B18" s="5" t="s">
        <v>112</v>
      </c>
      <c r="C18" s="8" t="s">
        <v>113</v>
      </c>
      <c r="D18" s="9" t="s">
        <v>247</v>
      </c>
      <c r="E18" s="9" t="s">
        <v>248</v>
      </c>
      <c r="F18" s="3" t="s">
        <v>199</v>
      </c>
      <c r="G18" s="20">
        <f>2825+768.4+768.4+13440.28+559.72+22000</f>
        <v>40361.800000000003</v>
      </c>
    </row>
    <row r="19" spans="1:7" x14ac:dyDescent="0.3">
      <c r="A19" s="19" t="s">
        <v>210</v>
      </c>
      <c r="B19" s="6" t="s">
        <v>136</v>
      </c>
      <c r="C19" s="6" t="s">
        <v>137</v>
      </c>
      <c r="D19" s="9" t="s">
        <v>247</v>
      </c>
      <c r="E19" s="9" t="s">
        <v>248</v>
      </c>
      <c r="F19" s="3" t="s">
        <v>199</v>
      </c>
      <c r="G19" s="20">
        <f>14000+2500*10</f>
        <v>39000</v>
      </c>
    </row>
    <row r="20" spans="1:7" x14ac:dyDescent="0.3">
      <c r="A20" s="19" t="s">
        <v>205</v>
      </c>
      <c r="B20" s="6" t="s">
        <v>42</v>
      </c>
      <c r="C20" s="6" t="s">
        <v>43</v>
      </c>
      <c r="D20" s="9" t="s">
        <v>247</v>
      </c>
      <c r="E20" s="9" t="s">
        <v>248</v>
      </c>
      <c r="F20" s="3" t="s">
        <v>199</v>
      </c>
      <c r="G20" s="20">
        <f>2800*3+263.41+194.34*9+3118.46*7+3119.46*2</f>
        <v>38480.61</v>
      </c>
    </row>
    <row r="21" spans="1:7" x14ac:dyDescent="0.3">
      <c r="A21" s="19" t="s">
        <v>205</v>
      </c>
      <c r="B21" s="2" t="s">
        <v>36</v>
      </c>
      <c r="C21" s="6" t="s">
        <v>37</v>
      </c>
      <c r="D21" s="9" t="s">
        <v>247</v>
      </c>
      <c r="E21" s="9" t="s">
        <v>248</v>
      </c>
      <c r="F21" s="3" t="s">
        <v>199</v>
      </c>
      <c r="G21" s="20">
        <f>3090.6*4+491.14+257.63*9+2910.4*8</f>
        <v>38455.410000000003</v>
      </c>
    </row>
    <row r="22" spans="1:7" x14ac:dyDescent="0.3">
      <c r="A22" s="19" t="s">
        <v>202</v>
      </c>
      <c r="B22" s="5" t="s">
        <v>172</v>
      </c>
      <c r="C22" s="8" t="s">
        <v>173</v>
      </c>
      <c r="D22" s="9" t="s">
        <v>247</v>
      </c>
      <c r="E22" s="9" t="s">
        <v>248</v>
      </c>
      <c r="F22" s="3" t="s">
        <v>199</v>
      </c>
      <c r="G22" s="20">
        <v>38000</v>
      </c>
    </row>
    <row r="23" spans="1:7" x14ac:dyDescent="0.3">
      <c r="A23" s="19" t="s">
        <v>208</v>
      </c>
      <c r="B23" s="5" t="s">
        <v>178</v>
      </c>
      <c r="C23" s="8" t="s">
        <v>179</v>
      </c>
      <c r="D23" s="9" t="s">
        <v>247</v>
      </c>
      <c r="E23" s="9" t="s">
        <v>248</v>
      </c>
      <c r="F23" s="3" t="s">
        <v>199</v>
      </c>
      <c r="G23" s="20">
        <v>35000</v>
      </c>
    </row>
    <row r="24" spans="1:7" x14ac:dyDescent="0.3">
      <c r="A24" s="19" t="s">
        <v>202</v>
      </c>
      <c r="B24" s="5" t="s">
        <v>174</v>
      </c>
      <c r="C24" s="8" t="s">
        <v>175</v>
      </c>
      <c r="D24" s="9" t="s">
        <v>247</v>
      </c>
      <c r="E24" s="9" t="s">
        <v>248</v>
      </c>
      <c r="F24" s="3" t="s">
        <v>199</v>
      </c>
      <c r="G24" s="20">
        <v>31500</v>
      </c>
    </row>
    <row r="25" spans="1:7" x14ac:dyDescent="0.3">
      <c r="A25" s="19" t="s">
        <v>211</v>
      </c>
      <c r="B25" s="5" t="s">
        <v>56</v>
      </c>
      <c r="C25" s="6" t="s">
        <v>57</v>
      </c>
      <c r="D25" s="9" t="s">
        <v>247</v>
      </c>
      <c r="E25" s="9" t="s">
        <v>248</v>
      </c>
      <c r="F25" s="3" t="s">
        <v>199</v>
      </c>
      <c r="G25" s="20">
        <v>28800</v>
      </c>
    </row>
    <row r="26" spans="1:7" x14ac:dyDescent="0.3">
      <c r="A26" s="19" t="s">
        <v>212</v>
      </c>
      <c r="B26" s="6" t="s">
        <v>150</v>
      </c>
      <c r="C26" s="6" t="s">
        <v>151</v>
      </c>
      <c r="D26" s="9" t="s">
        <v>247</v>
      </c>
      <c r="E26" s="9" t="s">
        <v>248</v>
      </c>
      <c r="F26" s="3" t="s">
        <v>199</v>
      </c>
      <c r="G26" s="20">
        <f>90.21+131.64+10713.02+3599.49+1613.47+290.97+7464.17+1453.99+1029.44</f>
        <v>26386.400000000001</v>
      </c>
    </row>
    <row r="27" spans="1:7" x14ac:dyDescent="0.3">
      <c r="A27" s="19" t="s">
        <v>213</v>
      </c>
      <c r="B27" s="6" t="s">
        <v>134</v>
      </c>
      <c r="C27" s="6" t="s">
        <v>135</v>
      </c>
      <c r="D27" s="9" t="s">
        <v>247</v>
      </c>
      <c r="E27" s="9" t="s">
        <v>248</v>
      </c>
      <c r="F27" s="3" t="s">
        <v>199</v>
      </c>
      <c r="G27" s="20">
        <f>4241.82*6</f>
        <v>25450.92</v>
      </c>
    </row>
    <row r="28" spans="1:7" x14ac:dyDescent="0.3">
      <c r="A28" s="19" t="s">
        <v>212</v>
      </c>
      <c r="B28" s="5" t="s">
        <v>100</v>
      </c>
      <c r="C28" s="5" t="s">
        <v>101</v>
      </c>
      <c r="D28" s="9" t="s">
        <v>247</v>
      </c>
      <c r="E28" s="9" t="s">
        <v>248</v>
      </c>
      <c r="F28" s="3" t="s">
        <v>199</v>
      </c>
      <c r="G28" s="20">
        <f>96.77+9376.37+1104.25+341.12+169.64+2602.22+111.8+1551.35+793.2+7106.71+2113.72</f>
        <v>25367.15</v>
      </c>
    </row>
    <row r="29" spans="1:7" x14ac:dyDescent="0.3">
      <c r="A29" s="19" t="s">
        <v>202</v>
      </c>
      <c r="B29" s="5" t="s">
        <v>180</v>
      </c>
      <c r="C29" s="8" t="s">
        <v>181</v>
      </c>
      <c r="D29" s="9" t="s">
        <v>247</v>
      </c>
      <c r="E29" s="9" t="s">
        <v>248</v>
      </c>
      <c r="F29" s="3" t="s">
        <v>199</v>
      </c>
      <c r="G29" s="20">
        <v>23000</v>
      </c>
    </row>
    <row r="30" spans="1:7" x14ac:dyDescent="0.3">
      <c r="A30" s="19" t="s">
        <v>203</v>
      </c>
      <c r="B30" s="2" t="s">
        <v>4</v>
      </c>
      <c r="C30" s="2" t="s">
        <v>5</v>
      </c>
      <c r="D30" s="9" t="s">
        <v>247</v>
      </c>
      <c r="E30" s="9" t="s">
        <v>248</v>
      </c>
      <c r="F30" s="3" t="s">
        <v>199</v>
      </c>
      <c r="G30" s="20">
        <v>22895</v>
      </c>
    </row>
    <row r="31" spans="1:7" x14ac:dyDescent="0.3">
      <c r="A31" s="19" t="s">
        <v>202</v>
      </c>
      <c r="B31" s="5" t="s">
        <v>64</v>
      </c>
      <c r="C31" s="6" t="s">
        <v>65</v>
      </c>
      <c r="D31" s="9" t="s">
        <v>247</v>
      </c>
      <c r="E31" s="9" t="s">
        <v>248</v>
      </c>
      <c r="F31" s="3" t="s">
        <v>199</v>
      </c>
      <c r="G31" s="20">
        <f>20000</f>
        <v>20000</v>
      </c>
    </row>
    <row r="32" spans="1:7" x14ac:dyDescent="0.3">
      <c r="A32" s="19" t="s">
        <v>211</v>
      </c>
      <c r="B32" s="6" t="s">
        <v>84</v>
      </c>
      <c r="C32" s="6" t="s">
        <v>85</v>
      </c>
      <c r="D32" s="9" t="s">
        <v>247</v>
      </c>
      <c r="E32" s="9" t="s">
        <v>248</v>
      </c>
      <c r="F32" s="3" t="s">
        <v>199</v>
      </c>
      <c r="G32" s="20">
        <v>19230</v>
      </c>
    </row>
    <row r="33" spans="1:7" x14ac:dyDescent="0.3">
      <c r="A33" s="19" t="s">
        <v>214</v>
      </c>
      <c r="B33" s="5" t="s">
        <v>154</v>
      </c>
      <c r="C33" s="5" t="s">
        <v>155</v>
      </c>
      <c r="D33" s="10" t="s">
        <v>197</v>
      </c>
      <c r="E33" s="10" t="s">
        <v>198</v>
      </c>
      <c r="F33" s="3" t="s">
        <v>199</v>
      </c>
      <c r="G33" s="20">
        <f>2569.99*7</f>
        <v>17989.93</v>
      </c>
    </row>
    <row r="34" spans="1:7" x14ac:dyDescent="0.3">
      <c r="A34" s="19" t="s">
        <v>212</v>
      </c>
      <c r="B34" s="5" t="s">
        <v>98</v>
      </c>
      <c r="C34" s="5" t="s">
        <v>99</v>
      </c>
      <c r="D34" s="10" t="s">
        <v>247</v>
      </c>
      <c r="E34" s="10" t="s">
        <v>248</v>
      </c>
      <c r="F34" s="3" t="s">
        <v>199</v>
      </c>
      <c r="G34" s="20">
        <f>2022.92+2825.35+1973.17+768.8+804.13+1200.11+621.24+665.45+205.5+395.35+688.15+1338.65+1295.5+131.55+1833.04+639.69</f>
        <v>17408.599999999999</v>
      </c>
    </row>
    <row r="35" spans="1:7" x14ac:dyDescent="0.3">
      <c r="A35" s="19" t="s">
        <v>215</v>
      </c>
      <c r="B35" s="2" t="s">
        <v>58</v>
      </c>
      <c r="C35" s="6" t="s">
        <v>59</v>
      </c>
      <c r="D35" s="10" t="s">
        <v>247</v>
      </c>
      <c r="E35" s="10" t="s">
        <v>248</v>
      </c>
      <c r="F35" s="3" t="s">
        <v>199</v>
      </c>
      <c r="G35" s="20">
        <f>117.06+1937.85+120.92+1592.63+117.06+1201.91+117.06+1264.08+127.04+672.66+1689.11+132.06+132.06+1612.39+140.15+1130.23+138.71+1568.76+135.07+879.9+498.74+139.7+132.06+476.07</f>
        <v>16073.279999999997</v>
      </c>
    </row>
    <row r="36" spans="1:7" x14ac:dyDescent="0.3">
      <c r="A36" s="19" t="s">
        <v>216</v>
      </c>
      <c r="B36" s="2" t="s">
        <v>72</v>
      </c>
      <c r="C36" s="2" t="s">
        <v>73</v>
      </c>
      <c r="D36" s="10" t="s">
        <v>247</v>
      </c>
      <c r="E36" s="10" t="s">
        <v>248</v>
      </c>
      <c r="F36" s="3" t="s">
        <v>199</v>
      </c>
      <c r="G36" s="20">
        <f>15295.14</f>
        <v>15295.14</v>
      </c>
    </row>
    <row r="37" spans="1:7" x14ac:dyDescent="0.3">
      <c r="A37" s="19" t="s">
        <v>217</v>
      </c>
      <c r="B37" s="5" t="s">
        <v>22</v>
      </c>
      <c r="C37" s="8" t="s">
        <v>23</v>
      </c>
      <c r="D37" s="10" t="s">
        <v>247</v>
      </c>
      <c r="E37" s="10" t="s">
        <v>248</v>
      </c>
      <c r="F37" s="3" t="s">
        <v>199</v>
      </c>
      <c r="G37" s="20">
        <f>3179.16+10006.01</f>
        <v>13185.17</v>
      </c>
    </row>
    <row r="38" spans="1:7" x14ac:dyDescent="0.3">
      <c r="A38" s="19" t="s">
        <v>212</v>
      </c>
      <c r="B38" s="5" t="s">
        <v>160</v>
      </c>
      <c r="C38" s="8" t="s">
        <v>161</v>
      </c>
      <c r="D38" s="10" t="s">
        <v>247</v>
      </c>
      <c r="E38" s="10" t="s">
        <v>248</v>
      </c>
      <c r="F38" s="3" t="s">
        <v>199</v>
      </c>
      <c r="G38" s="20">
        <f>12927.78</f>
        <v>12927.78</v>
      </c>
    </row>
    <row r="39" spans="1:7" x14ac:dyDescent="0.3">
      <c r="A39" s="19" t="s">
        <v>230</v>
      </c>
      <c r="B39" s="5" t="s">
        <v>96</v>
      </c>
      <c r="C39" s="5" t="s">
        <v>97</v>
      </c>
      <c r="D39" s="10" t="s">
        <v>247</v>
      </c>
      <c r="E39" s="10" t="s">
        <v>248</v>
      </c>
      <c r="F39" s="3" t="s">
        <v>199</v>
      </c>
      <c r="G39" s="20">
        <f>3852.25+3606.03+4878.69</f>
        <v>12336.970000000001</v>
      </c>
    </row>
    <row r="40" spans="1:7" x14ac:dyDescent="0.3">
      <c r="A40" s="19" t="s">
        <v>216</v>
      </c>
      <c r="B40" s="2" t="s">
        <v>2</v>
      </c>
      <c r="C40" s="2" t="s">
        <v>3</v>
      </c>
      <c r="D40" s="10" t="s">
        <v>247</v>
      </c>
      <c r="E40" s="10" t="s">
        <v>248</v>
      </c>
      <c r="F40" s="3" t="s">
        <v>199</v>
      </c>
      <c r="G40" s="20">
        <f>6026*2</f>
        <v>12052</v>
      </c>
    </row>
    <row r="41" spans="1:7" x14ac:dyDescent="0.3">
      <c r="A41" s="19" t="s">
        <v>231</v>
      </c>
      <c r="B41" s="2" t="s">
        <v>80</v>
      </c>
      <c r="C41" s="6" t="s">
        <v>81</v>
      </c>
      <c r="D41" s="10" t="s">
        <v>247</v>
      </c>
      <c r="E41" s="10" t="s">
        <v>248</v>
      </c>
      <c r="F41" s="3" t="s">
        <v>199</v>
      </c>
      <c r="G41" s="20">
        <f>1039.86+21.48+1006.48+999.86+922.86+928.86+927.36+924.36+925.36+913.36+1107.36+1106.36+1107.36</f>
        <v>11930.92</v>
      </c>
    </row>
    <row r="42" spans="1:7" x14ac:dyDescent="0.3">
      <c r="A42" s="19" t="s">
        <v>232</v>
      </c>
      <c r="B42" s="2" t="s">
        <v>60</v>
      </c>
      <c r="C42" s="6" t="s">
        <v>61</v>
      </c>
      <c r="D42" s="10" t="s">
        <v>247</v>
      </c>
      <c r="E42" s="10" t="s">
        <v>248</v>
      </c>
      <c r="F42" s="3" t="s">
        <v>199</v>
      </c>
      <c r="G42" s="20">
        <f>185.3+899.64+551.19+327.34+502.8+961.49+924.31+4.87+926.61+598.91+118.18+90.91+665.58+123.53+769+302.43+612.37+301.66+1355.8+539.75+300.37+847.29</f>
        <v>11909.329999999998</v>
      </c>
    </row>
    <row r="43" spans="1:7" x14ac:dyDescent="0.3">
      <c r="A43" s="19" t="s">
        <v>233</v>
      </c>
      <c r="B43" s="5" t="s">
        <v>162</v>
      </c>
      <c r="C43" s="8" t="s">
        <v>163</v>
      </c>
      <c r="D43" s="10" t="s">
        <v>247</v>
      </c>
      <c r="E43" s="10" t="s">
        <v>248</v>
      </c>
      <c r="F43" s="3" t="s">
        <v>199</v>
      </c>
      <c r="G43" s="20">
        <f>583+500+1959.99+4653.69+895+930+1420</f>
        <v>10941.68</v>
      </c>
    </row>
    <row r="44" spans="1:7" x14ac:dyDescent="0.3">
      <c r="A44" s="19" t="s">
        <v>234</v>
      </c>
      <c r="B44" s="7" t="s">
        <v>12</v>
      </c>
      <c r="C44" s="7" t="s">
        <v>13</v>
      </c>
      <c r="D44" s="10" t="s">
        <v>247</v>
      </c>
      <c r="E44" s="10" t="s">
        <v>248</v>
      </c>
      <c r="F44" s="3" t="s">
        <v>199</v>
      </c>
      <c r="G44" s="20">
        <f>656.95+6569.5+656.95+2956.27</f>
        <v>10839.67</v>
      </c>
    </row>
    <row r="45" spans="1:7" x14ac:dyDescent="0.3">
      <c r="A45" s="19" t="s">
        <v>235</v>
      </c>
      <c r="B45" s="6" t="s">
        <v>86</v>
      </c>
      <c r="C45" s="6" t="s">
        <v>87</v>
      </c>
      <c r="D45" s="10" t="s">
        <v>247</v>
      </c>
      <c r="E45" s="10" t="s">
        <v>248</v>
      </c>
      <c r="F45" s="3" t="s">
        <v>199</v>
      </c>
      <c r="G45" s="20">
        <v>10780</v>
      </c>
    </row>
    <row r="46" spans="1:7" x14ac:dyDescent="0.3">
      <c r="A46" s="19" t="s">
        <v>234</v>
      </c>
      <c r="B46" s="6" t="s">
        <v>158</v>
      </c>
      <c r="C46" s="6" t="s">
        <v>159</v>
      </c>
      <c r="D46" s="10" t="s">
        <v>247</v>
      </c>
      <c r="E46" s="10" t="s">
        <v>248</v>
      </c>
      <c r="F46" s="3" t="s">
        <v>199</v>
      </c>
      <c r="G46" s="20">
        <f>2871.81+4392.18+1520.37+1689.3</f>
        <v>10473.66</v>
      </c>
    </row>
    <row r="47" spans="1:7" x14ac:dyDescent="0.3">
      <c r="A47" s="19" t="s">
        <v>236</v>
      </c>
      <c r="B47" s="6" t="s">
        <v>140</v>
      </c>
      <c r="C47" s="6" t="s">
        <v>141</v>
      </c>
      <c r="D47" s="10" t="s">
        <v>247</v>
      </c>
      <c r="E47" s="10" t="s">
        <v>248</v>
      </c>
      <c r="F47" s="3" t="s">
        <v>199</v>
      </c>
      <c r="G47" s="20">
        <f>1172.08+2930.2*3</f>
        <v>9962.6799999999985</v>
      </c>
    </row>
    <row r="48" spans="1:7" x14ac:dyDescent="0.3">
      <c r="A48" s="19" t="s">
        <v>213</v>
      </c>
      <c r="B48" s="6" t="s">
        <v>134</v>
      </c>
      <c r="C48" s="6" t="s">
        <v>135</v>
      </c>
      <c r="D48" s="10" t="s">
        <v>247</v>
      </c>
      <c r="E48" s="10" t="s">
        <v>248</v>
      </c>
      <c r="F48" s="3" t="s">
        <v>199</v>
      </c>
      <c r="G48" s="20">
        <f>4241.82*2+1131.16</f>
        <v>9614.7999999999993</v>
      </c>
    </row>
    <row r="49" spans="1:7" x14ac:dyDescent="0.3">
      <c r="A49" s="19" t="s">
        <v>218</v>
      </c>
      <c r="B49" s="2" t="s">
        <v>74</v>
      </c>
      <c r="C49" s="6" t="s">
        <v>75</v>
      </c>
      <c r="D49" s="10" t="s">
        <v>247</v>
      </c>
      <c r="E49" s="10" t="s">
        <v>248</v>
      </c>
      <c r="F49" s="3" t="s">
        <v>199</v>
      </c>
      <c r="G49" s="20">
        <f>6000+3600</f>
        <v>9600</v>
      </c>
    </row>
    <row r="50" spans="1:7" x14ac:dyDescent="0.3">
      <c r="A50" s="19" t="s">
        <v>203</v>
      </c>
      <c r="B50" s="5" t="s">
        <v>168</v>
      </c>
      <c r="C50" s="8" t="s">
        <v>169</v>
      </c>
      <c r="D50" s="10" t="s">
        <v>247</v>
      </c>
      <c r="E50" s="10" t="s">
        <v>248</v>
      </c>
      <c r="F50" s="3" t="s">
        <v>199</v>
      </c>
      <c r="G50" s="20">
        <f>9000</f>
        <v>9000</v>
      </c>
    </row>
    <row r="51" spans="1:7" x14ac:dyDescent="0.3">
      <c r="A51" s="19" t="s">
        <v>203</v>
      </c>
      <c r="B51" s="6" t="s">
        <v>144</v>
      </c>
      <c r="C51" s="6" t="s">
        <v>145</v>
      </c>
      <c r="D51" s="10" t="s">
        <v>247</v>
      </c>
      <c r="E51" s="10" t="s">
        <v>248</v>
      </c>
      <c r="F51" s="3" t="s">
        <v>199</v>
      </c>
      <c r="G51" s="20">
        <f>3220+5276</f>
        <v>8496</v>
      </c>
    </row>
    <row r="52" spans="1:7" x14ac:dyDescent="0.3">
      <c r="A52" s="19" t="s">
        <v>207</v>
      </c>
      <c r="B52" s="7" t="s">
        <v>6</v>
      </c>
      <c r="C52" s="7" t="s">
        <v>7</v>
      </c>
      <c r="D52" s="10" t="s">
        <v>247</v>
      </c>
      <c r="E52" s="10" t="s">
        <v>248</v>
      </c>
      <c r="F52" s="3" t="s">
        <v>199</v>
      </c>
      <c r="G52" s="20">
        <v>8158</v>
      </c>
    </row>
    <row r="53" spans="1:7" x14ac:dyDescent="0.3">
      <c r="A53" s="19" t="s">
        <v>237</v>
      </c>
      <c r="B53" s="6" t="s">
        <v>128</v>
      </c>
      <c r="C53" s="6" t="s">
        <v>129</v>
      </c>
      <c r="D53" s="10" t="s">
        <v>247</v>
      </c>
      <c r="E53" s="10" t="s">
        <v>248</v>
      </c>
      <c r="F53" s="3" t="s">
        <v>199</v>
      </c>
      <c r="G53" s="20">
        <v>8118.03</v>
      </c>
    </row>
    <row r="54" spans="1:7" x14ac:dyDescent="0.3">
      <c r="A54" s="19" t="s">
        <v>212</v>
      </c>
      <c r="B54" s="5" t="s">
        <v>92</v>
      </c>
      <c r="C54" s="8" t="s">
        <v>93</v>
      </c>
      <c r="D54" s="10" t="s">
        <v>247</v>
      </c>
      <c r="E54" s="10" t="s">
        <v>248</v>
      </c>
      <c r="F54" s="3" t="s">
        <v>199</v>
      </c>
      <c r="G54" s="20">
        <f>2455+2874+1716.9+253+232.33</f>
        <v>7531.23</v>
      </c>
    </row>
    <row r="55" spans="1:7" x14ac:dyDescent="0.3">
      <c r="A55" s="19" t="s">
        <v>238</v>
      </c>
      <c r="B55" s="7" t="s">
        <v>82</v>
      </c>
      <c r="C55" s="2" t="s">
        <v>83</v>
      </c>
      <c r="D55" s="10" t="s">
        <v>247</v>
      </c>
      <c r="E55" s="10" t="s">
        <v>248</v>
      </c>
      <c r="F55" s="3" t="s">
        <v>199</v>
      </c>
      <c r="G55" s="20">
        <f>7150</f>
        <v>7150</v>
      </c>
    </row>
    <row r="56" spans="1:7" x14ac:dyDescent="0.3">
      <c r="A56" s="19" t="s">
        <v>206</v>
      </c>
      <c r="B56" s="2" t="s">
        <v>62</v>
      </c>
      <c r="C56" s="6" t="s">
        <v>63</v>
      </c>
      <c r="D56" s="10" t="s">
        <v>247</v>
      </c>
      <c r="E56" s="10" t="s">
        <v>248</v>
      </c>
      <c r="F56" s="3" t="s">
        <v>199</v>
      </c>
      <c r="G56" s="20">
        <f>1167.81+1197.5+907.31+1104.8+497.05+1168.96+888.46</f>
        <v>6931.89</v>
      </c>
    </row>
    <row r="57" spans="1:7" x14ac:dyDescent="0.3">
      <c r="A57" s="19" t="s">
        <v>207</v>
      </c>
      <c r="B57" s="5" t="s">
        <v>18</v>
      </c>
      <c r="C57" s="8" t="s">
        <v>19</v>
      </c>
      <c r="D57" s="10" t="s">
        <v>247</v>
      </c>
      <c r="E57" s="10" t="s">
        <v>248</v>
      </c>
      <c r="F57" s="3" t="s">
        <v>199</v>
      </c>
      <c r="G57" s="20">
        <f>1766.63+4986.64</f>
        <v>6753.27</v>
      </c>
    </row>
    <row r="58" spans="1:7" x14ac:dyDescent="0.3">
      <c r="A58" s="19" t="s">
        <v>202</v>
      </c>
      <c r="B58" s="7" t="s">
        <v>8</v>
      </c>
      <c r="C58" s="7" t="s">
        <v>9</v>
      </c>
      <c r="D58" s="10" t="s">
        <v>247</v>
      </c>
      <c r="E58" s="10" t="s">
        <v>248</v>
      </c>
      <c r="F58" s="3" t="s">
        <v>199</v>
      </c>
      <c r="G58" s="20">
        <f>4837.01+1890</f>
        <v>6727.01</v>
      </c>
    </row>
    <row r="59" spans="1:7" x14ac:dyDescent="0.3">
      <c r="A59" s="19" t="s">
        <v>219</v>
      </c>
      <c r="B59" s="7" t="s">
        <v>10</v>
      </c>
      <c r="C59" s="7" t="s">
        <v>11</v>
      </c>
      <c r="D59" s="10" t="s">
        <v>247</v>
      </c>
      <c r="E59" s="10" t="s">
        <v>248</v>
      </c>
      <c r="F59" s="3" t="s">
        <v>199</v>
      </c>
      <c r="G59" s="20">
        <f>3920+2440</f>
        <v>6360</v>
      </c>
    </row>
    <row r="60" spans="1:7" x14ac:dyDescent="0.3">
      <c r="A60" s="19" t="s">
        <v>219</v>
      </c>
      <c r="B60" s="5" t="s">
        <v>164</v>
      </c>
      <c r="C60" s="8" t="s">
        <v>165</v>
      </c>
      <c r="D60" s="10" t="s">
        <v>247</v>
      </c>
      <c r="E60" s="10" t="s">
        <v>248</v>
      </c>
      <c r="F60" s="3" t="s">
        <v>199</v>
      </c>
      <c r="G60" s="20">
        <v>6300</v>
      </c>
    </row>
    <row r="61" spans="1:7" x14ac:dyDescent="0.3">
      <c r="A61" s="19" t="s">
        <v>236</v>
      </c>
      <c r="B61" s="5" t="s">
        <v>90</v>
      </c>
      <c r="C61" s="5" t="s">
        <v>91</v>
      </c>
      <c r="D61" s="10" t="s">
        <v>247</v>
      </c>
      <c r="E61" s="10" t="s">
        <v>248</v>
      </c>
      <c r="F61" s="3" t="s">
        <v>199</v>
      </c>
      <c r="G61" s="20">
        <v>6000</v>
      </c>
    </row>
    <row r="62" spans="1:7" x14ac:dyDescent="0.3">
      <c r="A62" s="19" t="s">
        <v>239</v>
      </c>
      <c r="B62" s="6" t="s">
        <v>132</v>
      </c>
      <c r="C62" s="6" t="s">
        <v>133</v>
      </c>
      <c r="D62" s="10" t="s">
        <v>247</v>
      </c>
      <c r="E62" s="10" t="s">
        <v>248</v>
      </c>
      <c r="F62" s="3" t="s">
        <v>199</v>
      </c>
      <c r="G62" s="20">
        <f>5999</f>
        <v>5999</v>
      </c>
    </row>
    <row r="63" spans="1:7" x14ac:dyDescent="0.3">
      <c r="A63" s="19" t="s">
        <v>240</v>
      </c>
      <c r="B63" s="7" t="s">
        <v>14</v>
      </c>
      <c r="C63" s="2" t="s">
        <v>15</v>
      </c>
      <c r="D63" s="10" t="s">
        <v>247</v>
      </c>
      <c r="E63" s="10" t="s">
        <v>248</v>
      </c>
      <c r="F63" s="3" t="s">
        <v>199</v>
      </c>
      <c r="G63" s="20">
        <f>1607.4+142.5+4058.5</f>
        <v>5808.4</v>
      </c>
    </row>
    <row r="64" spans="1:7" x14ac:dyDescent="0.3">
      <c r="A64" s="19" t="s">
        <v>220</v>
      </c>
      <c r="B64" s="5" t="s">
        <v>88</v>
      </c>
      <c r="C64" s="5" t="s">
        <v>89</v>
      </c>
      <c r="D64" s="10" t="s">
        <v>247</v>
      </c>
      <c r="E64" s="10" t="s">
        <v>248</v>
      </c>
      <c r="F64" s="3" t="s">
        <v>199</v>
      </c>
      <c r="G64" s="20">
        <f>1450+1334.25+818.3+1824</f>
        <v>5426.55</v>
      </c>
    </row>
    <row r="65" spans="1:7" x14ac:dyDescent="0.3">
      <c r="A65" s="19" t="s">
        <v>219</v>
      </c>
      <c r="B65" s="5" t="s">
        <v>26</v>
      </c>
      <c r="C65" s="8" t="s">
        <v>27</v>
      </c>
      <c r="D65" s="10" t="s">
        <v>247</v>
      </c>
      <c r="E65" s="10" t="s">
        <v>248</v>
      </c>
      <c r="F65" s="3" t="s">
        <v>199</v>
      </c>
      <c r="G65" s="20">
        <v>4750</v>
      </c>
    </row>
    <row r="66" spans="1:7" x14ac:dyDescent="0.3">
      <c r="A66" s="19" t="s">
        <v>242</v>
      </c>
      <c r="B66" s="6" t="s">
        <v>156</v>
      </c>
      <c r="C66" s="6" t="s">
        <v>157</v>
      </c>
      <c r="D66" s="10" t="s">
        <v>247</v>
      </c>
      <c r="E66" s="10" t="s">
        <v>248</v>
      </c>
      <c r="F66" s="3" t="s">
        <v>199</v>
      </c>
      <c r="G66" s="20">
        <v>4500</v>
      </c>
    </row>
    <row r="67" spans="1:7" x14ac:dyDescent="0.3">
      <c r="A67" s="19" t="s">
        <v>241</v>
      </c>
      <c r="B67" s="6" t="s">
        <v>66</v>
      </c>
      <c r="C67" s="6" t="s">
        <v>67</v>
      </c>
      <c r="D67" s="10" t="s">
        <v>247</v>
      </c>
      <c r="E67" s="10" t="s">
        <v>248</v>
      </c>
      <c r="F67" s="3" t="s">
        <v>199</v>
      </c>
      <c r="G67" s="20">
        <f>565.44*3+446.4*5+466.24</f>
        <v>4394.5600000000004</v>
      </c>
    </row>
    <row r="68" spans="1:7" x14ac:dyDescent="0.3">
      <c r="A68" s="19" t="s">
        <v>213</v>
      </c>
      <c r="B68" s="6" t="s">
        <v>142</v>
      </c>
      <c r="C68" s="6" t="s">
        <v>143</v>
      </c>
      <c r="D68" s="9" t="s">
        <v>197</v>
      </c>
      <c r="E68" s="9" t="s">
        <v>198</v>
      </c>
      <c r="F68" s="3" t="s">
        <v>199</v>
      </c>
      <c r="G68" s="20">
        <f>700.28+1500.02+1500.62</f>
        <v>3700.92</v>
      </c>
    </row>
    <row r="69" spans="1:7" x14ac:dyDescent="0.3">
      <c r="A69" s="19" t="s">
        <v>212</v>
      </c>
      <c r="B69" s="5" t="s">
        <v>104</v>
      </c>
      <c r="C69" s="5" t="s">
        <v>105</v>
      </c>
      <c r="D69" s="10" t="s">
        <v>247</v>
      </c>
      <c r="E69" s="10" t="s">
        <v>248</v>
      </c>
      <c r="F69" s="3" t="s">
        <v>199</v>
      </c>
      <c r="G69" s="20">
        <v>3700</v>
      </c>
    </row>
    <row r="70" spans="1:7" x14ac:dyDescent="0.3">
      <c r="A70" s="19" t="s">
        <v>212</v>
      </c>
      <c r="B70" s="6" t="s">
        <v>148</v>
      </c>
      <c r="C70" s="6" t="s">
        <v>149</v>
      </c>
      <c r="D70" s="10" t="s">
        <v>247</v>
      </c>
      <c r="E70" s="10" t="s">
        <v>248</v>
      </c>
      <c r="F70" s="3" t="s">
        <v>199</v>
      </c>
      <c r="G70" s="20">
        <f>1469.02+1567.02</f>
        <v>3036.04</v>
      </c>
    </row>
    <row r="71" spans="1:7" x14ac:dyDescent="0.3">
      <c r="A71" s="19" t="s">
        <v>243</v>
      </c>
      <c r="B71" s="5" t="s">
        <v>78</v>
      </c>
      <c r="C71" s="5" t="s">
        <v>79</v>
      </c>
      <c r="D71" s="10" t="s">
        <v>247</v>
      </c>
      <c r="E71" s="10" t="s">
        <v>248</v>
      </c>
      <c r="F71" s="3" t="s">
        <v>199</v>
      </c>
      <c r="G71" s="20">
        <v>2909.17</v>
      </c>
    </row>
    <row r="72" spans="1:7" x14ac:dyDescent="0.3">
      <c r="A72" s="19" t="s">
        <v>240</v>
      </c>
      <c r="B72" s="5" t="s">
        <v>116</v>
      </c>
      <c r="C72" s="5" t="s">
        <v>117</v>
      </c>
      <c r="D72" s="10" t="s">
        <v>247</v>
      </c>
      <c r="E72" s="10" t="s">
        <v>248</v>
      </c>
      <c r="F72" s="3" t="s">
        <v>199</v>
      </c>
      <c r="G72" s="20">
        <f>2812.95</f>
        <v>2812.95</v>
      </c>
    </row>
    <row r="73" spans="1:7" x14ac:dyDescent="0.3">
      <c r="A73" s="19" t="s">
        <v>212</v>
      </c>
      <c r="B73" s="5" t="s">
        <v>30</v>
      </c>
      <c r="C73" s="8" t="s">
        <v>31</v>
      </c>
      <c r="D73" s="10" t="s">
        <v>247</v>
      </c>
      <c r="E73" s="10" t="s">
        <v>248</v>
      </c>
      <c r="F73" s="3" t="s">
        <v>199</v>
      </c>
      <c r="G73" s="20">
        <f>628.24+903.61+939.74</f>
        <v>2471.59</v>
      </c>
    </row>
    <row r="74" spans="1:7" x14ac:dyDescent="0.3">
      <c r="A74" s="19" t="s">
        <v>212</v>
      </c>
      <c r="B74" s="5" t="s">
        <v>20</v>
      </c>
      <c r="C74" s="8" t="s">
        <v>21</v>
      </c>
      <c r="D74" s="10" t="s">
        <v>247</v>
      </c>
      <c r="E74" s="10" t="s">
        <v>248</v>
      </c>
      <c r="F74" s="3" t="s">
        <v>199</v>
      </c>
      <c r="G74" s="20">
        <v>2426.13</v>
      </c>
    </row>
    <row r="75" spans="1:7" x14ac:dyDescent="0.3">
      <c r="A75" s="19" t="s">
        <v>212</v>
      </c>
      <c r="B75" s="6" t="s">
        <v>50</v>
      </c>
      <c r="C75" s="2" t="s">
        <v>51</v>
      </c>
      <c r="D75" s="10" t="s">
        <v>247</v>
      </c>
      <c r="E75" s="10" t="s">
        <v>248</v>
      </c>
      <c r="F75" s="3" t="s">
        <v>199</v>
      </c>
      <c r="G75" s="20">
        <f>794+1179.5+384</f>
        <v>2357.5</v>
      </c>
    </row>
    <row r="76" spans="1:7" x14ac:dyDescent="0.3">
      <c r="A76" s="19" t="s">
        <v>212</v>
      </c>
      <c r="B76" s="5" t="s">
        <v>170</v>
      </c>
      <c r="C76" s="8" t="s">
        <v>171</v>
      </c>
      <c r="D76" s="10" t="s">
        <v>247</v>
      </c>
      <c r="E76" s="10" t="s">
        <v>248</v>
      </c>
      <c r="F76" s="3" t="s">
        <v>199</v>
      </c>
      <c r="G76" s="20">
        <f>1116.95+336.49+144.41+623.26</f>
        <v>2221.11</v>
      </c>
    </row>
    <row r="77" spans="1:7" x14ac:dyDescent="0.3">
      <c r="A77" s="19" t="s">
        <v>244</v>
      </c>
      <c r="B77" s="5" t="s">
        <v>166</v>
      </c>
      <c r="C77" s="8" t="s">
        <v>167</v>
      </c>
      <c r="D77" s="10" t="s">
        <v>247</v>
      </c>
      <c r="E77" s="10" t="s">
        <v>248</v>
      </c>
      <c r="F77" s="3" t="s">
        <v>199</v>
      </c>
      <c r="G77" s="20">
        <v>1869.5</v>
      </c>
    </row>
    <row r="78" spans="1:7" x14ac:dyDescent="0.3">
      <c r="A78" s="19" t="s">
        <v>212</v>
      </c>
      <c r="B78" s="5" t="s">
        <v>94</v>
      </c>
      <c r="C78" s="8" t="s">
        <v>95</v>
      </c>
      <c r="D78" s="10" t="s">
        <v>247</v>
      </c>
      <c r="E78" s="10" t="s">
        <v>248</v>
      </c>
      <c r="F78" s="3" t="s">
        <v>199</v>
      </c>
      <c r="G78" s="20">
        <f>35+440+98+440+270+440</f>
        <v>1723</v>
      </c>
    </row>
    <row r="79" spans="1:7" x14ac:dyDescent="0.3">
      <c r="A79" s="19" t="s">
        <v>221</v>
      </c>
      <c r="B79" s="6" t="s">
        <v>120</v>
      </c>
      <c r="C79" s="6" t="s">
        <v>121</v>
      </c>
      <c r="D79" s="10" t="s">
        <v>247</v>
      </c>
      <c r="E79" s="10" t="s">
        <v>248</v>
      </c>
      <c r="F79" s="3" t="s">
        <v>199</v>
      </c>
      <c r="G79" s="20">
        <v>1661.37</v>
      </c>
    </row>
    <row r="80" spans="1:7" x14ac:dyDescent="0.3">
      <c r="A80" s="19" t="s">
        <v>222</v>
      </c>
      <c r="B80" s="6" t="s">
        <v>130</v>
      </c>
      <c r="C80" s="6" t="s">
        <v>131</v>
      </c>
      <c r="D80" s="10" t="s">
        <v>247</v>
      </c>
      <c r="E80" s="10" t="s">
        <v>248</v>
      </c>
      <c r="F80" s="3" t="s">
        <v>199</v>
      </c>
      <c r="G80" s="20">
        <f>1297+334</f>
        <v>1631</v>
      </c>
    </row>
    <row r="81" spans="1:7" x14ac:dyDescent="0.3">
      <c r="A81" s="19" t="s">
        <v>212</v>
      </c>
      <c r="B81" s="2" t="s">
        <v>152</v>
      </c>
      <c r="C81" s="6" t="s">
        <v>153</v>
      </c>
      <c r="D81" s="10" t="s">
        <v>247</v>
      </c>
      <c r="E81" s="10" t="s">
        <v>248</v>
      </c>
      <c r="F81" s="3" t="s">
        <v>199</v>
      </c>
      <c r="G81" s="20">
        <f>306.1+73.3+113+38.2+166.2+0.33+103+793.9</f>
        <v>1594.03</v>
      </c>
    </row>
    <row r="82" spans="1:7" x14ac:dyDescent="0.3">
      <c r="A82" s="19" t="s">
        <v>212</v>
      </c>
      <c r="B82" s="6" t="s">
        <v>110</v>
      </c>
      <c r="C82" s="2" t="s">
        <v>111</v>
      </c>
      <c r="D82" s="10" t="s">
        <v>247</v>
      </c>
      <c r="E82" s="10" t="s">
        <v>248</v>
      </c>
      <c r="F82" s="3" t="s">
        <v>199</v>
      </c>
      <c r="G82" s="20">
        <f>1512.68</f>
        <v>1512.68</v>
      </c>
    </row>
    <row r="83" spans="1:7" x14ac:dyDescent="0.3">
      <c r="A83" s="19" t="s">
        <v>223</v>
      </c>
      <c r="B83" s="2" t="s">
        <v>68</v>
      </c>
      <c r="C83" s="6" t="s">
        <v>69</v>
      </c>
      <c r="D83" s="10" t="s">
        <v>247</v>
      </c>
      <c r="E83" s="10" t="s">
        <v>248</v>
      </c>
      <c r="F83" s="3" t="s">
        <v>199</v>
      </c>
      <c r="G83" s="20">
        <f>1392.52</f>
        <v>1392.52</v>
      </c>
    </row>
    <row r="84" spans="1:7" x14ac:dyDescent="0.3">
      <c r="A84" s="19" t="s">
        <v>224</v>
      </c>
      <c r="B84" s="5" t="s">
        <v>32</v>
      </c>
      <c r="C84" s="8" t="s">
        <v>33</v>
      </c>
      <c r="D84" s="10" t="s">
        <v>247</v>
      </c>
      <c r="E84" s="10" t="s">
        <v>248</v>
      </c>
      <c r="F84" s="3" t="s">
        <v>199</v>
      </c>
      <c r="G84" s="20">
        <f>1276</f>
        <v>1276</v>
      </c>
    </row>
    <row r="85" spans="1:7" x14ac:dyDescent="0.3">
      <c r="A85" s="19" t="s">
        <v>212</v>
      </c>
      <c r="B85" s="6" t="s">
        <v>114</v>
      </c>
      <c r="C85" s="6" t="s">
        <v>115</v>
      </c>
      <c r="D85" s="10" t="s">
        <v>247</v>
      </c>
      <c r="E85" s="10" t="s">
        <v>248</v>
      </c>
      <c r="F85" s="3" t="s">
        <v>199</v>
      </c>
      <c r="G85" s="20">
        <f>1034.95</f>
        <v>1034.95</v>
      </c>
    </row>
    <row r="86" spans="1:7" x14ac:dyDescent="0.3">
      <c r="A86" s="19" t="s">
        <v>212</v>
      </c>
      <c r="B86" s="5" t="s">
        <v>106</v>
      </c>
      <c r="C86" s="5" t="s">
        <v>107</v>
      </c>
      <c r="D86" s="10" t="s">
        <v>247</v>
      </c>
      <c r="E86" s="10" t="s">
        <v>248</v>
      </c>
      <c r="F86" s="3" t="s">
        <v>199</v>
      </c>
      <c r="G86" s="20">
        <f>457+476.29</f>
        <v>933.29</v>
      </c>
    </row>
    <row r="87" spans="1:7" x14ac:dyDescent="0.3">
      <c r="A87" s="19" t="s">
        <v>212</v>
      </c>
      <c r="B87" s="5" t="s">
        <v>186</v>
      </c>
      <c r="C87" s="8" t="s">
        <v>187</v>
      </c>
      <c r="D87" s="10" t="s">
        <v>247</v>
      </c>
      <c r="E87" s="10" t="s">
        <v>248</v>
      </c>
      <c r="F87" s="3" t="s">
        <v>199</v>
      </c>
      <c r="G87" s="20">
        <v>919.73</v>
      </c>
    </row>
    <row r="88" spans="1:7" x14ac:dyDescent="0.3">
      <c r="A88" s="19" t="s">
        <v>212</v>
      </c>
      <c r="B88" s="5" t="s">
        <v>184</v>
      </c>
      <c r="C88" s="8" t="s">
        <v>185</v>
      </c>
      <c r="D88" s="10" t="s">
        <v>247</v>
      </c>
      <c r="E88" s="10" t="s">
        <v>248</v>
      </c>
      <c r="F88" s="3" t="s">
        <v>199</v>
      </c>
      <c r="G88" s="20">
        <f>461.1+274.66</f>
        <v>735.76</v>
      </c>
    </row>
    <row r="89" spans="1:7" x14ac:dyDescent="0.3">
      <c r="A89" s="19" t="s">
        <v>212</v>
      </c>
      <c r="B89" s="6" t="s">
        <v>124</v>
      </c>
      <c r="C89" s="6" t="s">
        <v>125</v>
      </c>
      <c r="D89" s="10" t="s">
        <v>247</v>
      </c>
      <c r="E89" s="10" t="s">
        <v>248</v>
      </c>
      <c r="F89" s="3" t="s">
        <v>199</v>
      </c>
      <c r="G89" s="20">
        <f>280+440</f>
        <v>720</v>
      </c>
    </row>
    <row r="90" spans="1:7" x14ac:dyDescent="0.3">
      <c r="A90" s="19" t="s">
        <v>245</v>
      </c>
      <c r="B90" s="2" t="s">
        <v>70</v>
      </c>
      <c r="C90" s="6" t="s">
        <v>71</v>
      </c>
      <c r="D90" s="10" t="s">
        <v>247</v>
      </c>
      <c r="E90" s="10" t="s">
        <v>248</v>
      </c>
      <c r="F90" s="3" t="s">
        <v>199</v>
      </c>
      <c r="G90" s="20">
        <f>371.7+56.5+275.5</f>
        <v>703.7</v>
      </c>
    </row>
    <row r="91" spans="1:7" x14ac:dyDescent="0.3">
      <c r="A91" s="19" t="s">
        <v>246</v>
      </c>
      <c r="B91" s="5" t="s">
        <v>54</v>
      </c>
      <c r="C91" s="6" t="s">
        <v>55</v>
      </c>
      <c r="D91" s="10" t="s">
        <v>247</v>
      </c>
      <c r="E91" s="10" t="s">
        <v>248</v>
      </c>
      <c r="F91" s="3" t="s">
        <v>199</v>
      </c>
      <c r="G91" s="20">
        <f>370+320</f>
        <v>690</v>
      </c>
    </row>
    <row r="92" spans="1:7" x14ac:dyDescent="0.3">
      <c r="A92" s="19" t="s">
        <v>207</v>
      </c>
      <c r="B92" s="7" t="s">
        <v>118</v>
      </c>
      <c r="C92" s="2" t="s">
        <v>119</v>
      </c>
      <c r="D92" s="10" t="s">
        <v>247</v>
      </c>
      <c r="E92" s="10" t="s">
        <v>248</v>
      </c>
      <c r="F92" s="3" t="s">
        <v>199</v>
      </c>
      <c r="G92" s="20">
        <f>521.55+103.55</f>
        <v>625.09999999999991</v>
      </c>
    </row>
    <row r="93" spans="1:7" x14ac:dyDescent="0.3">
      <c r="A93" s="19" t="s">
        <v>229</v>
      </c>
      <c r="B93" s="6" t="s">
        <v>126</v>
      </c>
      <c r="C93" s="6" t="s">
        <v>127</v>
      </c>
      <c r="D93" s="10" t="s">
        <v>247</v>
      </c>
      <c r="E93" s="10" t="s">
        <v>248</v>
      </c>
      <c r="F93" s="3" t="s">
        <v>199</v>
      </c>
      <c r="G93" s="20">
        <v>400</v>
      </c>
    </row>
    <row r="94" spans="1:7" x14ac:dyDescent="0.3">
      <c r="A94" s="19" t="s">
        <v>228</v>
      </c>
      <c r="B94" s="7" t="s">
        <v>16</v>
      </c>
      <c r="C94" s="2" t="s">
        <v>17</v>
      </c>
      <c r="D94" s="10" t="s">
        <v>247</v>
      </c>
      <c r="E94" s="10" t="s">
        <v>248</v>
      </c>
      <c r="F94" s="3" t="s">
        <v>199</v>
      </c>
      <c r="G94" s="20">
        <v>305.98</v>
      </c>
    </row>
    <row r="95" spans="1:7" x14ac:dyDescent="0.3">
      <c r="A95" s="19" t="s">
        <v>212</v>
      </c>
      <c r="B95" s="5" t="s">
        <v>28</v>
      </c>
      <c r="C95" s="8" t="s">
        <v>29</v>
      </c>
      <c r="D95" s="10" t="s">
        <v>247</v>
      </c>
      <c r="E95" s="10" t="s">
        <v>248</v>
      </c>
      <c r="F95" s="3" t="s">
        <v>199</v>
      </c>
      <c r="G95" s="20">
        <v>279</v>
      </c>
    </row>
    <row r="96" spans="1:7" x14ac:dyDescent="0.3">
      <c r="A96" s="19" t="s">
        <v>227</v>
      </c>
      <c r="B96" s="6" t="s">
        <v>138</v>
      </c>
      <c r="C96" s="6" t="s">
        <v>139</v>
      </c>
      <c r="D96" s="10" t="s">
        <v>247</v>
      </c>
      <c r="E96" s="10" t="s">
        <v>248</v>
      </c>
      <c r="F96" s="3" t="s">
        <v>199</v>
      </c>
      <c r="G96" s="20">
        <v>229</v>
      </c>
    </row>
    <row r="97" spans="1:7" x14ac:dyDescent="0.3">
      <c r="A97" s="19" t="s">
        <v>212</v>
      </c>
      <c r="B97" s="5" t="s">
        <v>34</v>
      </c>
      <c r="C97" s="8" t="s">
        <v>35</v>
      </c>
      <c r="D97" s="10" t="s">
        <v>247</v>
      </c>
      <c r="E97" s="10" t="s">
        <v>248</v>
      </c>
      <c r="F97" s="3" t="s">
        <v>199</v>
      </c>
      <c r="G97" s="20">
        <v>169.98</v>
      </c>
    </row>
    <row r="98" spans="1:7" x14ac:dyDescent="0.3">
      <c r="A98" s="19" t="s">
        <v>226</v>
      </c>
      <c r="B98" s="5" t="s">
        <v>182</v>
      </c>
      <c r="C98" s="8" t="s">
        <v>183</v>
      </c>
      <c r="D98" s="10" t="s">
        <v>247</v>
      </c>
      <c r="E98" s="10" t="s">
        <v>248</v>
      </c>
      <c r="F98" s="3" t="s">
        <v>199</v>
      </c>
      <c r="G98" s="20">
        <f>69.7</f>
        <v>69.7</v>
      </c>
    </row>
    <row r="99" spans="1:7" x14ac:dyDescent="0.3">
      <c r="A99" s="19" t="s">
        <v>225</v>
      </c>
      <c r="B99" s="5" t="s">
        <v>102</v>
      </c>
      <c r="C99" s="5" t="s">
        <v>103</v>
      </c>
      <c r="D99" s="10" t="s">
        <v>247</v>
      </c>
      <c r="E99" s="10" t="s">
        <v>248</v>
      </c>
      <c r="F99" s="3" t="s">
        <v>199</v>
      </c>
      <c r="G99" s="20">
        <f>48</f>
        <v>48</v>
      </c>
    </row>
    <row r="100" spans="1:7" ht="15" thickBot="1" x14ac:dyDescent="0.35">
      <c r="A100" s="21" t="s">
        <v>250</v>
      </c>
      <c r="B100" s="22"/>
      <c r="C100" s="22"/>
      <c r="D100" s="22"/>
      <c r="E100" s="22"/>
      <c r="F100" s="23"/>
      <c r="G100" s="24">
        <f>SUM(G3:G99)</f>
        <v>4643430.6599999983</v>
      </c>
    </row>
  </sheetData>
  <sortState xmlns:xlrd2="http://schemas.microsoft.com/office/spreadsheetml/2017/richdata2" ref="A3:G99">
    <sortCondition descending="1" ref="G3:G99"/>
  </sortState>
  <mergeCells count="2">
    <mergeCell ref="A1:G1"/>
    <mergeCell ref="A100:F10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5B846-4E84-4BC3-B15F-83AAD34426FA}">
  <dimension ref="A1:E41"/>
  <sheetViews>
    <sheetView workbookViewId="0">
      <selection activeCell="B16" sqref="B16"/>
    </sheetView>
  </sheetViews>
  <sheetFormatPr defaultRowHeight="14.4" x14ac:dyDescent="0.3"/>
  <cols>
    <col min="1" max="1" width="46.6640625" bestFit="1" customWidth="1"/>
    <col min="2" max="2" width="16.77734375" bestFit="1" customWidth="1"/>
    <col min="3" max="3" width="25.77734375" bestFit="1" customWidth="1"/>
    <col min="4" max="4" width="22.33203125" bestFit="1" customWidth="1"/>
    <col min="5" max="5" width="10.5546875" bestFit="1" customWidth="1"/>
  </cols>
  <sheetData>
    <row r="1" spans="1:5" x14ac:dyDescent="0.3">
      <c r="A1" s="31" t="s">
        <v>252</v>
      </c>
      <c r="B1" s="31"/>
      <c r="C1" s="31"/>
      <c r="D1" s="32"/>
      <c r="E1" s="32"/>
    </row>
    <row r="2" spans="1:5" x14ac:dyDescent="0.3">
      <c r="A2" s="33" t="s">
        <v>298</v>
      </c>
      <c r="B2" s="33" t="s">
        <v>253</v>
      </c>
      <c r="C2" s="33" t="s">
        <v>295</v>
      </c>
      <c r="D2" s="33" t="s">
        <v>299</v>
      </c>
      <c r="E2" s="33" t="s">
        <v>300</v>
      </c>
    </row>
    <row r="3" spans="1:5" x14ac:dyDescent="0.3">
      <c r="A3" s="25" t="s">
        <v>259</v>
      </c>
      <c r="B3" s="25" t="s">
        <v>294</v>
      </c>
      <c r="C3" s="25" t="s">
        <v>296</v>
      </c>
      <c r="D3" s="26" t="s">
        <v>297</v>
      </c>
      <c r="E3" s="27">
        <f>5944.36*3+6234.36*2+8409.36*6</f>
        <v>80757.959999999992</v>
      </c>
    </row>
    <row r="4" spans="1:5" x14ac:dyDescent="0.3">
      <c r="A4" s="25" t="s">
        <v>255</v>
      </c>
      <c r="B4" s="25" t="s">
        <v>294</v>
      </c>
      <c r="C4" s="25" t="s">
        <v>296</v>
      </c>
      <c r="D4" s="26" t="s">
        <v>297</v>
      </c>
      <c r="E4" s="27">
        <f>4494.36*3+4784.36*7+500+5074.36*2</f>
        <v>57622.319999999992</v>
      </c>
    </row>
    <row r="5" spans="1:5" x14ac:dyDescent="0.3">
      <c r="A5" s="25" t="s">
        <v>271</v>
      </c>
      <c r="B5" s="25" t="s">
        <v>294</v>
      </c>
      <c r="C5" s="25" t="s">
        <v>296</v>
      </c>
      <c r="D5" s="26" t="s">
        <v>297</v>
      </c>
      <c r="E5" s="27">
        <f>3736.13*3+4046.13*7+4276.86*2+500</f>
        <v>48585.020000000004</v>
      </c>
    </row>
    <row r="6" spans="1:5" x14ac:dyDescent="0.3">
      <c r="A6" s="25" t="s">
        <v>273</v>
      </c>
      <c r="B6" s="25" t="s">
        <v>294</v>
      </c>
      <c r="C6" s="25" t="s">
        <v>296</v>
      </c>
      <c r="D6" s="26" t="s">
        <v>297</v>
      </c>
      <c r="E6" s="27">
        <f>1525+1600*2+1992.8+2131.55*3+3329.8*3+500+3658.63*2</f>
        <v>30919.11</v>
      </c>
    </row>
    <row r="7" spans="1:5" x14ac:dyDescent="0.3">
      <c r="A7" s="25" t="s">
        <v>260</v>
      </c>
      <c r="B7" s="25" t="s">
        <v>294</v>
      </c>
      <c r="C7" s="25" t="s">
        <v>296</v>
      </c>
      <c r="D7" s="26" t="s">
        <v>297</v>
      </c>
      <c r="E7" s="27">
        <f>1150*4+2594.05*6+500+2862.3*2</f>
        <v>26388.9</v>
      </c>
    </row>
    <row r="8" spans="1:5" x14ac:dyDescent="0.3">
      <c r="A8" s="28" t="s">
        <v>292</v>
      </c>
      <c r="B8" s="25" t="s">
        <v>294</v>
      </c>
      <c r="C8" s="25" t="s">
        <v>296</v>
      </c>
      <c r="D8" s="26" t="s">
        <v>297</v>
      </c>
      <c r="E8" s="27">
        <f>1600*3+1992.8+2131.55*6+500+2947.3*2</f>
        <v>25976.700000000004</v>
      </c>
    </row>
    <row r="9" spans="1:5" x14ac:dyDescent="0.3">
      <c r="A9" s="28" t="s">
        <v>268</v>
      </c>
      <c r="B9" s="25" t="s">
        <v>294</v>
      </c>
      <c r="C9" s="25" t="s">
        <v>296</v>
      </c>
      <c r="D9" s="26" t="s">
        <v>297</v>
      </c>
      <c r="E9" s="27">
        <f>1837*10+500+2212.03*2</f>
        <v>23294.06</v>
      </c>
    </row>
    <row r="10" spans="1:5" x14ac:dyDescent="0.3">
      <c r="A10" s="28" t="s">
        <v>257</v>
      </c>
      <c r="B10" s="25" t="s">
        <v>294</v>
      </c>
      <c r="C10" s="25" t="s">
        <v>296</v>
      </c>
      <c r="D10" s="26" t="s">
        <v>297</v>
      </c>
      <c r="E10" s="27">
        <f>1150*3+1550*7+500+2085.3*2</f>
        <v>18970.599999999999</v>
      </c>
    </row>
    <row r="11" spans="1:5" x14ac:dyDescent="0.3">
      <c r="A11" s="28" t="s">
        <v>258</v>
      </c>
      <c r="B11" s="25" t="s">
        <v>294</v>
      </c>
      <c r="C11" s="25" t="s">
        <v>296</v>
      </c>
      <c r="D11" s="26" t="s">
        <v>297</v>
      </c>
      <c r="E11" s="27">
        <f>1250*3+1650*9</f>
        <v>18600</v>
      </c>
    </row>
    <row r="12" spans="1:5" x14ac:dyDescent="0.3">
      <c r="A12" s="28" t="s">
        <v>278</v>
      </c>
      <c r="B12" s="25" t="s">
        <v>294</v>
      </c>
      <c r="C12" s="25" t="s">
        <v>296</v>
      </c>
      <c r="D12" s="26" t="s">
        <v>297</v>
      </c>
      <c r="E12" s="27">
        <f>1250*3+1450*9</f>
        <v>16800</v>
      </c>
    </row>
    <row r="13" spans="1:5" x14ac:dyDescent="0.3">
      <c r="A13" s="28" t="s">
        <v>280</v>
      </c>
      <c r="B13" s="25" t="s">
        <v>294</v>
      </c>
      <c r="C13" s="25" t="s">
        <v>296</v>
      </c>
      <c r="D13" s="26" t="s">
        <v>297</v>
      </c>
      <c r="E13" s="27">
        <f>1150*3+1450*9</f>
        <v>16500</v>
      </c>
    </row>
    <row r="14" spans="1:5" x14ac:dyDescent="0.3">
      <c r="A14" s="28" t="s">
        <v>287</v>
      </c>
      <c r="B14" s="25" t="s">
        <v>294</v>
      </c>
      <c r="C14" s="25" t="s">
        <v>296</v>
      </c>
      <c r="D14" s="26" t="s">
        <v>297</v>
      </c>
      <c r="E14" s="27">
        <f>1250*10+500+1650*2</f>
        <v>16300</v>
      </c>
    </row>
    <row r="15" spans="1:5" x14ac:dyDescent="0.3">
      <c r="A15" s="25" t="s">
        <v>266</v>
      </c>
      <c r="B15" s="25" t="s">
        <v>294</v>
      </c>
      <c r="C15" s="25" t="s">
        <v>296</v>
      </c>
      <c r="D15" s="26" t="s">
        <v>297</v>
      </c>
      <c r="E15" s="27">
        <f>1150*3+1350*9</f>
        <v>15600</v>
      </c>
    </row>
    <row r="16" spans="1:5" x14ac:dyDescent="0.3">
      <c r="A16" s="25" t="s">
        <v>275</v>
      </c>
      <c r="B16" s="25" t="s">
        <v>294</v>
      </c>
      <c r="C16" s="25" t="s">
        <v>296</v>
      </c>
      <c r="D16" s="26" t="s">
        <v>297</v>
      </c>
      <c r="E16" s="27">
        <f>1250*12+500</f>
        <v>15500</v>
      </c>
    </row>
    <row r="17" spans="1:5" x14ac:dyDescent="0.3">
      <c r="A17" s="29" t="s">
        <v>284</v>
      </c>
      <c r="B17" s="25" t="s">
        <v>294</v>
      </c>
      <c r="C17" s="25" t="s">
        <v>296</v>
      </c>
      <c r="D17" s="26" t="s">
        <v>297</v>
      </c>
      <c r="E17" s="27">
        <f>1150*10+500+1350*2</f>
        <v>14700</v>
      </c>
    </row>
    <row r="18" spans="1:5" x14ac:dyDescent="0.3">
      <c r="A18" s="25" t="s">
        <v>265</v>
      </c>
      <c r="B18" s="25" t="s">
        <v>294</v>
      </c>
      <c r="C18" s="25" t="s">
        <v>296</v>
      </c>
      <c r="D18" s="26" t="s">
        <v>297</v>
      </c>
      <c r="E18" s="27">
        <f>1250*3+1550*7</f>
        <v>14600</v>
      </c>
    </row>
    <row r="19" spans="1:5" x14ac:dyDescent="0.3">
      <c r="A19" s="28" t="s">
        <v>269</v>
      </c>
      <c r="B19" s="25" t="s">
        <v>294</v>
      </c>
      <c r="C19" s="25" t="s">
        <v>296</v>
      </c>
      <c r="D19" s="26" t="s">
        <v>297</v>
      </c>
      <c r="E19" s="27">
        <f>1150*12</f>
        <v>13800</v>
      </c>
    </row>
    <row r="20" spans="1:5" x14ac:dyDescent="0.3">
      <c r="A20" s="28" t="s">
        <v>286</v>
      </c>
      <c r="B20" s="25" t="s">
        <v>294</v>
      </c>
      <c r="C20" s="25" t="s">
        <v>296</v>
      </c>
      <c r="D20" s="26" t="s">
        <v>297</v>
      </c>
      <c r="E20" s="27">
        <f>1150*12</f>
        <v>13800</v>
      </c>
    </row>
    <row r="21" spans="1:5" x14ac:dyDescent="0.3">
      <c r="A21" s="28" t="s">
        <v>267</v>
      </c>
      <c r="B21" s="25" t="s">
        <v>294</v>
      </c>
      <c r="C21" s="25" t="s">
        <v>296</v>
      </c>
      <c r="D21" s="26" t="s">
        <v>297</v>
      </c>
      <c r="E21" s="27">
        <f>1250*11</f>
        <v>13750</v>
      </c>
    </row>
    <row r="22" spans="1:5" x14ac:dyDescent="0.3">
      <c r="A22" s="28" t="s">
        <v>291</v>
      </c>
      <c r="B22" s="25" t="s">
        <v>294</v>
      </c>
      <c r="C22" s="25" t="s">
        <v>296</v>
      </c>
      <c r="D22" s="26" t="s">
        <v>297</v>
      </c>
      <c r="E22" s="27">
        <f>1250*3+1150*3+500+1550*2</f>
        <v>10800</v>
      </c>
    </row>
    <row r="23" spans="1:5" x14ac:dyDescent="0.3">
      <c r="A23" s="28" t="s">
        <v>290</v>
      </c>
      <c r="B23" s="25" t="s">
        <v>294</v>
      </c>
      <c r="C23" s="25" t="s">
        <v>296</v>
      </c>
      <c r="D23" s="26" t="s">
        <v>297</v>
      </c>
      <c r="E23" s="27">
        <f>1250*3+1450*4</f>
        <v>9550</v>
      </c>
    </row>
    <row r="24" spans="1:5" x14ac:dyDescent="0.3">
      <c r="A24" s="25" t="s">
        <v>261</v>
      </c>
      <c r="B24" s="25" t="s">
        <v>294</v>
      </c>
      <c r="C24" s="25" t="s">
        <v>296</v>
      </c>
      <c r="D24" s="26" t="s">
        <v>297</v>
      </c>
      <c r="E24" s="27">
        <f>1150*7</f>
        <v>8050</v>
      </c>
    </row>
    <row r="25" spans="1:5" x14ac:dyDescent="0.3">
      <c r="A25" s="28" t="s">
        <v>270</v>
      </c>
      <c r="B25" s="25" t="s">
        <v>294</v>
      </c>
      <c r="C25" s="25" t="s">
        <v>296</v>
      </c>
      <c r="D25" s="26" t="s">
        <v>297</v>
      </c>
      <c r="E25" s="27">
        <f>1150*7</f>
        <v>8050</v>
      </c>
    </row>
    <row r="26" spans="1:5" x14ac:dyDescent="0.3">
      <c r="A26" s="28" t="s">
        <v>272</v>
      </c>
      <c r="B26" s="25" t="s">
        <v>294</v>
      </c>
      <c r="C26" s="25" t="s">
        <v>296</v>
      </c>
      <c r="D26" s="26" t="s">
        <v>297</v>
      </c>
      <c r="E26" s="27">
        <f>1150*7</f>
        <v>8050</v>
      </c>
    </row>
    <row r="27" spans="1:5" x14ac:dyDescent="0.3">
      <c r="A27" s="28" t="s">
        <v>283</v>
      </c>
      <c r="B27" s="25" t="s">
        <v>294</v>
      </c>
      <c r="C27" s="25" t="s">
        <v>296</v>
      </c>
      <c r="D27" s="26" t="s">
        <v>297</v>
      </c>
      <c r="E27" s="27">
        <f>1150*7</f>
        <v>8050</v>
      </c>
    </row>
    <row r="28" spans="1:5" x14ac:dyDescent="0.3">
      <c r="A28" s="30" t="s">
        <v>293</v>
      </c>
      <c r="B28" s="25" t="s">
        <v>294</v>
      </c>
      <c r="C28" s="25" t="s">
        <v>296</v>
      </c>
      <c r="D28" s="26" t="s">
        <v>297</v>
      </c>
      <c r="E28" s="27">
        <f>1150*3+500+1550*2</f>
        <v>7050</v>
      </c>
    </row>
    <row r="29" spans="1:5" x14ac:dyDescent="0.3">
      <c r="A29" s="25" t="s">
        <v>263</v>
      </c>
      <c r="B29" s="25" t="s">
        <v>294</v>
      </c>
      <c r="C29" s="25" t="s">
        <v>296</v>
      </c>
      <c r="D29" s="26" t="s">
        <v>297</v>
      </c>
      <c r="E29" s="27">
        <f>1150*5</f>
        <v>5750</v>
      </c>
    </row>
    <row r="30" spans="1:5" x14ac:dyDescent="0.3">
      <c r="A30" s="28" t="s">
        <v>279</v>
      </c>
      <c r="B30" s="25" t="s">
        <v>294</v>
      </c>
      <c r="C30" s="25" t="s">
        <v>296</v>
      </c>
      <c r="D30" s="26" t="s">
        <v>297</v>
      </c>
      <c r="E30" s="27">
        <f>1150*5</f>
        <v>5750</v>
      </c>
    </row>
    <row r="31" spans="1:5" x14ac:dyDescent="0.3">
      <c r="A31" s="25" t="s">
        <v>276</v>
      </c>
      <c r="B31" s="25" t="s">
        <v>294</v>
      </c>
      <c r="C31" s="25" t="s">
        <v>296</v>
      </c>
      <c r="D31" s="26" t="s">
        <v>297</v>
      </c>
      <c r="E31" s="27">
        <f>1150*3</f>
        <v>3450</v>
      </c>
    </row>
    <row r="32" spans="1:5" x14ac:dyDescent="0.3">
      <c r="A32" s="25" t="s">
        <v>264</v>
      </c>
      <c r="B32" s="25" t="s">
        <v>294</v>
      </c>
      <c r="C32" s="25" t="s">
        <v>296</v>
      </c>
      <c r="D32" s="26" t="s">
        <v>297</v>
      </c>
      <c r="E32" s="27">
        <f>675*2+600*3</f>
        <v>3150</v>
      </c>
    </row>
    <row r="33" spans="1:5" x14ac:dyDescent="0.3">
      <c r="A33" s="28" t="s">
        <v>285</v>
      </c>
      <c r="B33" s="25" t="s">
        <v>294</v>
      </c>
      <c r="C33" s="25" t="s">
        <v>296</v>
      </c>
      <c r="D33" s="26" t="s">
        <v>297</v>
      </c>
      <c r="E33" s="27">
        <f>675*2+600*3</f>
        <v>3150</v>
      </c>
    </row>
    <row r="34" spans="1:5" x14ac:dyDescent="0.3">
      <c r="A34" s="28" t="s">
        <v>288</v>
      </c>
      <c r="B34" s="25" t="s">
        <v>294</v>
      </c>
      <c r="C34" s="25" t="s">
        <v>296</v>
      </c>
      <c r="D34" s="26" t="s">
        <v>297</v>
      </c>
      <c r="E34" s="27">
        <f>675*2+600*3</f>
        <v>3150</v>
      </c>
    </row>
    <row r="35" spans="1:5" x14ac:dyDescent="0.3">
      <c r="A35" s="28" t="s">
        <v>289</v>
      </c>
      <c r="B35" s="25" t="s">
        <v>294</v>
      </c>
      <c r="C35" s="25" t="s">
        <v>296</v>
      </c>
      <c r="D35" s="26" t="s">
        <v>297</v>
      </c>
      <c r="E35" s="27">
        <f>600*5</f>
        <v>3000</v>
      </c>
    </row>
    <row r="36" spans="1:5" x14ac:dyDescent="0.3">
      <c r="A36" s="28" t="s">
        <v>282</v>
      </c>
      <c r="B36" s="25" t="s">
        <v>294</v>
      </c>
      <c r="C36" s="25" t="s">
        <v>296</v>
      </c>
      <c r="D36" s="26" t="s">
        <v>297</v>
      </c>
      <c r="E36" s="27">
        <f>675*2+600*2</f>
        <v>2550</v>
      </c>
    </row>
    <row r="37" spans="1:5" x14ac:dyDescent="0.3">
      <c r="A37" s="25" t="s">
        <v>262</v>
      </c>
      <c r="B37" s="25" t="s">
        <v>294</v>
      </c>
      <c r="C37" s="25" t="s">
        <v>296</v>
      </c>
      <c r="D37" s="26" t="s">
        <v>297</v>
      </c>
      <c r="E37" s="27">
        <f>675+600*3</f>
        <v>2475</v>
      </c>
    </row>
    <row r="38" spans="1:5" x14ac:dyDescent="0.3">
      <c r="A38" s="25" t="s">
        <v>274</v>
      </c>
      <c r="B38" s="25" t="s">
        <v>294</v>
      </c>
      <c r="C38" s="25" t="s">
        <v>296</v>
      </c>
      <c r="D38" s="26" t="s">
        <v>297</v>
      </c>
      <c r="E38" s="27">
        <f>600*4</f>
        <v>2400</v>
      </c>
    </row>
    <row r="39" spans="1:5" x14ac:dyDescent="0.3">
      <c r="A39" s="28" t="s">
        <v>277</v>
      </c>
      <c r="B39" s="25" t="s">
        <v>294</v>
      </c>
      <c r="C39" s="25" t="s">
        <v>296</v>
      </c>
      <c r="D39" s="26" t="s">
        <v>297</v>
      </c>
      <c r="E39" s="27">
        <f>600*4</f>
        <v>2400</v>
      </c>
    </row>
    <row r="40" spans="1:5" x14ac:dyDescent="0.3">
      <c r="A40" s="28" t="s">
        <v>281</v>
      </c>
      <c r="B40" s="25" t="s">
        <v>294</v>
      </c>
      <c r="C40" s="25" t="s">
        <v>296</v>
      </c>
      <c r="D40" s="26" t="s">
        <v>297</v>
      </c>
      <c r="E40" s="27">
        <f>600*4</f>
        <v>2400</v>
      </c>
    </row>
    <row r="41" spans="1:5" x14ac:dyDescent="0.3">
      <c r="A41" s="28" t="s">
        <v>256</v>
      </c>
      <c r="B41" s="25" t="s">
        <v>294</v>
      </c>
      <c r="C41" s="25" t="s">
        <v>296</v>
      </c>
      <c r="D41" s="26" t="s">
        <v>297</v>
      </c>
      <c r="E41" s="27">
        <f>675*2+600</f>
        <v>1950</v>
      </c>
    </row>
  </sheetData>
  <sortState xmlns:xlrd2="http://schemas.microsoft.com/office/spreadsheetml/2017/richdata2" ref="A2:E41">
    <sortCondition descending="1" ref="E2:E41"/>
  </sortState>
  <mergeCells count="1">
    <mergeCell ref="A1:E1"/>
  </mergeCells>
  <conditionalFormatting sqref="A7:A8 A10:A13">
    <cfRule type="containsText" dxfId="38" priority="1" operator="containsText" text="Contrato Câmbio / Swift">
      <formula>NOT(ISERROR(SEARCH(("Contrato Câmbio / Swift"),(A7))))</formula>
    </cfRule>
  </conditionalFormatting>
  <conditionalFormatting sqref="A7:A8 A10:A13">
    <cfRule type="containsText" dxfId="37" priority="2" operator="containsText" text="Recibo original">
      <formula>NOT(ISERROR(SEARCH(("Recibo original"),(A7))))</formula>
    </cfRule>
  </conditionalFormatting>
  <conditionalFormatting sqref="A7:A8 A10:A13">
    <cfRule type="containsText" dxfId="36" priority="3" operator="containsText" text="Invoice">
      <formula>NOT(ISERROR(SEARCH(("Invoice"),(A7))))</formula>
    </cfRule>
  </conditionalFormatting>
  <conditionalFormatting sqref="A7:A8 A10:A13">
    <cfRule type="containsText" dxfId="35" priority="4" operator="containsText" text="Outros (especificar)">
      <formula>NOT(ISERROR(SEARCH(("Outros (especificar)"),(A7))))</formula>
    </cfRule>
  </conditionalFormatting>
  <conditionalFormatting sqref="A3:C3 A19 A21:A24 A7:A8 A10:A13 B4:C41">
    <cfRule type="cellIs" dxfId="34" priority="5" operator="equal">
      <formula>"Swift"</formula>
    </cfRule>
  </conditionalFormatting>
  <conditionalFormatting sqref="A3:C3 A19 A21:A24 B4:C41">
    <cfRule type="containsText" dxfId="33" priority="6" operator="containsText" text="Invoice">
      <formula>NOT(ISERROR(SEARCH(("Invoice"),(A3))))</formula>
    </cfRule>
  </conditionalFormatting>
  <conditionalFormatting sqref="A3:C3 A19 A21:A24 B4:C41">
    <cfRule type="containsText" dxfId="32" priority="7" operator="containsText" text="Outros (especificar)">
      <formula>NOT(ISERROR(SEARCH(("Outros (especificar)"),(A3))))</formula>
    </cfRule>
  </conditionalFormatting>
  <conditionalFormatting sqref="A3:C3 A19 A21:A24 B4:C41">
    <cfRule type="containsText" dxfId="31" priority="8" operator="containsText" text="Contrato Câmbio / Swift">
      <formula>NOT(ISERROR(SEARCH(("Contrato Câmbio / Swift"),(A3))))</formula>
    </cfRule>
  </conditionalFormatting>
  <conditionalFormatting sqref="A3:C3 A19 A21:A24 B4:C41">
    <cfRule type="containsText" dxfId="30" priority="9" operator="containsText" text="Recibo original">
      <formula>NOT(ISERROR(SEARCH(("Recibo original"),(A3))))</formula>
    </cfRule>
  </conditionalFormatting>
  <conditionalFormatting sqref="A14">
    <cfRule type="cellIs" dxfId="29" priority="10" operator="equal">
      <formula>"Swift"</formula>
    </cfRule>
  </conditionalFormatting>
  <conditionalFormatting sqref="A14">
    <cfRule type="containsText" dxfId="28" priority="11" operator="containsText" text="Invoice">
      <formula>NOT(ISERROR(SEARCH(("Invoice"),(A14))))</formula>
    </cfRule>
  </conditionalFormatting>
  <conditionalFormatting sqref="A14">
    <cfRule type="containsText" dxfId="27" priority="12" operator="containsText" text="Outros (especificar)">
      <formula>NOT(ISERROR(SEARCH(("Outros (especificar)"),(A14))))</formula>
    </cfRule>
  </conditionalFormatting>
  <conditionalFormatting sqref="A14">
    <cfRule type="containsText" dxfId="26" priority="13" operator="containsText" text="Contrato Câmbio / Swift">
      <formula>NOT(ISERROR(SEARCH(("Contrato Câmbio / Swift"),(A14))))</formula>
    </cfRule>
  </conditionalFormatting>
  <conditionalFormatting sqref="A14">
    <cfRule type="containsText" dxfId="25" priority="14" operator="containsText" text="Recibo original">
      <formula>NOT(ISERROR(SEARCH(("Recibo original"),(A14))))</formula>
    </cfRule>
  </conditionalFormatting>
  <conditionalFormatting sqref="A9">
    <cfRule type="cellIs" dxfId="24" priority="15" operator="equal">
      <formula>"Swift"</formula>
    </cfRule>
  </conditionalFormatting>
  <conditionalFormatting sqref="A9">
    <cfRule type="containsText" dxfId="23" priority="16" operator="containsText" text="Invoice">
      <formula>NOT(ISERROR(SEARCH(("Invoice"),(A9))))</formula>
    </cfRule>
  </conditionalFormatting>
  <conditionalFormatting sqref="A9">
    <cfRule type="containsText" dxfId="22" priority="17" operator="containsText" text="Outros (especificar)">
      <formula>NOT(ISERROR(SEARCH(("Outros (especificar)"),(A9))))</formula>
    </cfRule>
  </conditionalFormatting>
  <conditionalFormatting sqref="A9">
    <cfRule type="containsText" dxfId="21" priority="18" operator="containsText" text="Contrato Câmbio / Swift">
      <formula>NOT(ISERROR(SEARCH(("Contrato Câmbio / Swift"),(A9))))</formula>
    </cfRule>
  </conditionalFormatting>
  <conditionalFormatting sqref="A9">
    <cfRule type="containsText" dxfId="20" priority="19" operator="containsText" text="Recibo original">
      <formula>NOT(ISERROR(SEARCH(("Recibo original"),(A9))))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9BC55-7068-4636-9B5A-378810C8E8C8}">
  <dimension ref="A1:E27"/>
  <sheetViews>
    <sheetView workbookViewId="0">
      <selection activeCell="B22" sqref="B22"/>
    </sheetView>
  </sheetViews>
  <sheetFormatPr defaultRowHeight="14.4" x14ac:dyDescent="0.3"/>
  <cols>
    <col min="1" max="1" width="53" bestFit="1" customWidth="1"/>
    <col min="2" max="2" width="36.88671875" bestFit="1" customWidth="1"/>
    <col min="3" max="3" width="36.88671875" style="1" customWidth="1"/>
    <col min="4" max="4" width="36.88671875" customWidth="1"/>
    <col min="5" max="5" width="15.77734375" bestFit="1" customWidth="1"/>
  </cols>
  <sheetData>
    <row r="1" spans="1:5" x14ac:dyDescent="0.3">
      <c r="A1" s="34" t="s">
        <v>350</v>
      </c>
      <c r="B1" s="34"/>
      <c r="C1" s="34"/>
      <c r="D1" s="34"/>
      <c r="E1" s="34"/>
    </row>
    <row r="2" spans="1:5" x14ac:dyDescent="0.3">
      <c r="A2" s="35" t="s">
        <v>301</v>
      </c>
      <c r="B2" s="35" t="s">
        <v>302</v>
      </c>
      <c r="C2" s="35" t="s">
        <v>349</v>
      </c>
      <c r="D2" s="35" t="s">
        <v>254</v>
      </c>
      <c r="E2" s="35" t="s">
        <v>303</v>
      </c>
    </row>
    <row r="3" spans="1:5" x14ac:dyDescent="0.3">
      <c r="A3" s="36" t="s">
        <v>340</v>
      </c>
      <c r="B3" s="37" t="s">
        <v>341</v>
      </c>
      <c r="C3" s="38" t="s">
        <v>351</v>
      </c>
      <c r="D3" s="37" t="s">
        <v>297</v>
      </c>
      <c r="E3" s="39">
        <f>15495.54*12+3150+1650</f>
        <v>190746.48</v>
      </c>
    </row>
    <row r="4" spans="1:5" x14ac:dyDescent="0.3">
      <c r="A4" s="36" t="s">
        <v>334</v>
      </c>
      <c r="B4" s="37" t="s">
        <v>335</v>
      </c>
      <c r="C4" s="38" t="s">
        <v>351</v>
      </c>
      <c r="D4" s="37" t="s">
        <v>297</v>
      </c>
      <c r="E4" s="39">
        <f>14728.61*12+3150+1650</f>
        <v>181543.32</v>
      </c>
    </row>
    <row r="5" spans="1:5" x14ac:dyDescent="0.3">
      <c r="A5" s="36" t="s">
        <v>330</v>
      </c>
      <c r="B5" s="37" t="s">
        <v>331</v>
      </c>
      <c r="C5" s="38" t="s">
        <v>353</v>
      </c>
      <c r="D5" s="37" t="s">
        <v>297</v>
      </c>
      <c r="E5" s="39">
        <f>10418.78*11+680*12+2700+4470.97+14607.5+10418.78+1100</f>
        <v>156063.82999999999</v>
      </c>
    </row>
    <row r="6" spans="1:5" x14ac:dyDescent="0.3">
      <c r="A6" s="36" t="s">
        <v>338</v>
      </c>
      <c r="B6" s="37" t="s">
        <v>339</v>
      </c>
      <c r="C6" s="38" t="s">
        <v>353</v>
      </c>
      <c r="D6" s="37" t="s">
        <v>297</v>
      </c>
      <c r="E6" s="39">
        <f>10313.95*11+680*12+1350+1285.62+13230.38+9705.91+550</f>
        <v>147735.36000000002</v>
      </c>
    </row>
    <row r="7" spans="1:5" x14ac:dyDescent="0.3">
      <c r="A7" s="36" t="s">
        <v>319</v>
      </c>
      <c r="B7" s="37" t="s">
        <v>320</v>
      </c>
      <c r="C7" s="38" t="s">
        <v>353</v>
      </c>
      <c r="D7" s="37" t="s">
        <v>297</v>
      </c>
      <c r="E7" s="39">
        <f>8243.78*12+680*12+2700+3661.13+11534.91+1100</f>
        <v>126081.40000000002</v>
      </c>
    </row>
    <row r="8" spans="1:5" x14ac:dyDescent="0.3">
      <c r="A8" s="37" t="s">
        <v>344</v>
      </c>
      <c r="B8" s="37" t="s">
        <v>345</v>
      </c>
      <c r="C8" s="38" t="s">
        <v>353</v>
      </c>
      <c r="D8" s="37" t="s">
        <v>297</v>
      </c>
      <c r="E8" s="39">
        <f>5307.56*12+680*12+262*12+2158.5+7866.87+2700+1100</f>
        <v>88820.09</v>
      </c>
    </row>
    <row r="9" spans="1:5" x14ac:dyDescent="0.3">
      <c r="A9" s="36" t="s">
        <v>332</v>
      </c>
      <c r="B9" s="37" t="s">
        <v>333</v>
      </c>
      <c r="C9" s="38" t="s">
        <v>353</v>
      </c>
      <c r="D9" s="37" t="s">
        <v>297</v>
      </c>
      <c r="E9" s="39">
        <f>3801.21*11+680*12+262*12+554.4+528+607.2+554.4+580.8*5+1421.99+264+5668.4+607.2+516+4101.77</f>
        <v>70844.67</v>
      </c>
    </row>
    <row r="10" spans="1:5" x14ac:dyDescent="0.3">
      <c r="A10" s="36" t="s">
        <v>312</v>
      </c>
      <c r="B10" s="37" t="s">
        <v>313</v>
      </c>
      <c r="C10" s="38" t="s">
        <v>353</v>
      </c>
      <c r="D10" s="37" t="s">
        <v>297</v>
      </c>
      <c r="E10" s="39">
        <f>4168.58*11+680*12+1600+430.62+5099.45+3943.34+4516.73</f>
        <v>69604.51999999999</v>
      </c>
    </row>
    <row r="11" spans="1:5" x14ac:dyDescent="0.3">
      <c r="A11" s="36" t="s">
        <v>321</v>
      </c>
      <c r="B11" s="37" t="s">
        <v>305</v>
      </c>
      <c r="C11" s="38" t="s">
        <v>353</v>
      </c>
      <c r="D11" s="37" t="s">
        <v>297</v>
      </c>
      <c r="E11" s="39">
        <f>4853.84*11+544.77+6068.78+4590.34+4516.73</f>
        <v>69112.86</v>
      </c>
    </row>
    <row r="12" spans="1:5" x14ac:dyDescent="0.3">
      <c r="A12" s="36" t="s">
        <v>317</v>
      </c>
      <c r="B12" s="37" t="s">
        <v>318</v>
      </c>
      <c r="C12" s="38" t="s">
        <v>353</v>
      </c>
      <c r="D12" s="37" t="s">
        <v>297</v>
      </c>
      <c r="E12" s="39">
        <f>4580.3*6+680*12+502.31+5658.38+4338.29+4580.3*5</f>
        <v>69042.28</v>
      </c>
    </row>
    <row r="13" spans="1:5" x14ac:dyDescent="0.3">
      <c r="A13" s="36" t="s">
        <v>336</v>
      </c>
      <c r="B13" s="37" t="s">
        <v>337</v>
      </c>
      <c r="C13" s="38" t="s">
        <v>353</v>
      </c>
      <c r="D13" s="37" t="s">
        <v>297</v>
      </c>
      <c r="E13" s="39">
        <f>4002.36*11+680*12+262*12+554.4+528+607.2+554.4+580.8*5+1463.59+264+3831.81+607.2+516.6</f>
        <v>67161.16</v>
      </c>
    </row>
    <row r="14" spans="1:5" x14ac:dyDescent="0.3">
      <c r="A14" s="36" t="s">
        <v>322</v>
      </c>
      <c r="B14" s="37" t="s">
        <v>318</v>
      </c>
      <c r="C14" s="38" t="s">
        <v>353</v>
      </c>
      <c r="D14" s="37" t="s">
        <v>297</v>
      </c>
      <c r="E14" s="39">
        <f>4310.77*11+680*12+454.59+5275.4+4077.15+1690</f>
        <v>67075.61</v>
      </c>
    </row>
    <row r="15" spans="1:5" x14ac:dyDescent="0.3">
      <c r="A15" s="36" t="s">
        <v>325</v>
      </c>
      <c r="B15" s="37" t="s">
        <v>326</v>
      </c>
      <c r="C15" s="38" t="s">
        <v>353</v>
      </c>
      <c r="D15" s="37" t="s">
        <v>297</v>
      </c>
      <c r="E15" s="39">
        <f>4310.77*12+1626.21+5980.77</f>
        <v>59336.22</v>
      </c>
    </row>
    <row r="16" spans="1:5" x14ac:dyDescent="0.3">
      <c r="A16" s="36" t="s">
        <v>327</v>
      </c>
      <c r="B16" s="37" t="s">
        <v>305</v>
      </c>
      <c r="C16" s="38" t="s">
        <v>353</v>
      </c>
      <c r="D16" s="37" t="s">
        <v>297</v>
      </c>
      <c r="E16" s="39">
        <f>3174.39+4095.6*12+845+4516.54</f>
        <v>57683.13</v>
      </c>
    </row>
    <row r="17" spans="1:5" x14ac:dyDescent="0.3">
      <c r="A17" s="36" t="s">
        <v>328</v>
      </c>
      <c r="B17" s="37" t="s">
        <v>329</v>
      </c>
      <c r="C17" s="38" t="s">
        <v>353</v>
      </c>
      <c r="D17" s="37" t="s">
        <v>297</v>
      </c>
      <c r="E17" s="39">
        <f>3220.91*5+680*2+2076+4547.52+3762.35+2700+3762.35*2+1100+17497.66</f>
        <v>56672.78</v>
      </c>
    </row>
    <row r="18" spans="1:5" x14ac:dyDescent="0.3">
      <c r="A18" s="40" t="s">
        <v>304</v>
      </c>
      <c r="B18" s="37" t="s">
        <v>305</v>
      </c>
      <c r="C18" s="38" t="s">
        <v>353</v>
      </c>
      <c r="D18" s="37" t="s">
        <v>297</v>
      </c>
      <c r="E18" s="41">
        <f>3174.39+4095.6*12+845</f>
        <v>53166.59</v>
      </c>
    </row>
    <row r="19" spans="1:5" x14ac:dyDescent="0.3">
      <c r="A19" s="36" t="s">
        <v>342</v>
      </c>
      <c r="B19" s="37" t="s">
        <v>343</v>
      </c>
      <c r="C19" s="38" t="s">
        <v>353</v>
      </c>
      <c r="D19" s="37" t="s">
        <v>297</v>
      </c>
      <c r="E19" s="39">
        <f>2413.58+680*12+262*12+369.6+600+2488.98*11+310+357+325.5+341+341+1350+315+404+550+387.2*3+369.6+2668.98</f>
        <v>50559.64</v>
      </c>
    </row>
    <row r="20" spans="1:5" x14ac:dyDescent="0.3">
      <c r="A20" s="36" t="s">
        <v>314</v>
      </c>
      <c r="B20" s="37" t="s">
        <v>315</v>
      </c>
      <c r="C20" s="38" t="s">
        <v>353</v>
      </c>
      <c r="D20" s="37" t="s">
        <v>297</v>
      </c>
      <c r="E20" s="39">
        <f>2314.48*6+680*12+380*11+3824.21+1635.56+2323.98*4+2528.05</f>
        <v>43510.62</v>
      </c>
    </row>
    <row r="21" spans="1:5" x14ac:dyDescent="0.3">
      <c r="A21" s="36" t="s">
        <v>306</v>
      </c>
      <c r="B21" s="37" t="s">
        <v>307</v>
      </c>
      <c r="C21" s="38" t="s">
        <v>353</v>
      </c>
      <c r="D21" s="37" t="s">
        <v>297</v>
      </c>
      <c r="E21" s="39">
        <f>2236.02*6+680*12+334.2*11+217.4+3003.83+2100.88+2236.02*4+2395.89</f>
        <v>41914.400000000001</v>
      </c>
    </row>
    <row r="22" spans="1:5" x14ac:dyDescent="0.3">
      <c r="A22" s="36" t="s">
        <v>310</v>
      </c>
      <c r="B22" s="37" t="s">
        <v>311</v>
      </c>
      <c r="C22" s="38" t="s">
        <v>353</v>
      </c>
      <c r="D22" s="37" t="s">
        <v>297</v>
      </c>
      <c r="E22" s="39">
        <f>2179.82*11+680*11+700+2011.47</f>
        <v>34169.49</v>
      </c>
    </row>
    <row r="23" spans="1:5" x14ac:dyDescent="0.3">
      <c r="A23" s="36" t="s">
        <v>308</v>
      </c>
      <c r="B23" s="37" t="s">
        <v>309</v>
      </c>
      <c r="C23" s="38" t="s">
        <v>353</v>
      </c>
      <c r="D23" s="37" t="s">
        <v>297</v>
      </c>
      <c r="E23" s="39">
        <f>2020.18*10+680*11+2011.47+1853.35</f>
        <v>31546.62</v>
      </c>
    </row>
    <row r="24" spans="1:5" x14ac:dyDescent="0.3">
      <c r="A24" s="42" t="s">
        <v>346</v>
      </c>
      <c r="B24" s="42" t="s">
        <v>347</v>
      </c>
      <c r="C24" s="38" t="s">
        <v>353</v>
      </c>
      <c r="D24" s="37" t="s">
        <v>297</v>
      </c>
      <c r="E24" s="43">
        <f>1400*4+2056.27*8</f>
        <v>22050.16</v>
      </c>
    </row>
    <row r="25" spans="1:5" x14ac:dyDescent="0.3">
      <c r="A25" s="44" t="s">
        <v>323</v>
      </c>
      <c r="B25" s="6" t="s">
        <v>324</v>
      </c>
      <c r="C25" s="38" t="s">
        <v>353</v>
      </c>
      <c r="D25" s="37" t="s">
        <v>297</v>
      </c>
      <c r="E25" s="4">
        <f>1656.18*11+1519.68</f>
        <v>19737.66</v>
      </c>
    </row>
    <row r="26" spans="1:5" x14ac:dyDescent="0.3">
      <c r="A26" s="45" t="s">
        <v>348</v>
      </c>
      <c r="B26" s="45" t="s">
        <v>347</v>
      </c>
      <c r="C26" s="38" t="s">
        <v>353</v>
      </c>
      <c r="D26" s="37" t="s">
        <v>297</v>
      </c>
      <c r="E26" s="4">
        <f>1500*4+1500.01*8</f>
        <v>18000.080000000002</v>
      </c>
    </row>
    <row r="27" spans="1:5" x14ac:dyDescent="0.3">
      <c r="A27" s="44" t="s">
        <v>316</v>
      </c>
      <c r="B27" s="6" t="s">
        <v>354</v>
      </c>
      <c r="C27" s="38" t="s">
        <v>353</v>
      </c>
      <c r="D27" s="37" t="s">
        <v>297</v>
      </c>
      <c r="E27" s="4">
        <f>644.66*6+833.23+595.56+634.39*4+644.66</f>
        <v>8478.9699999999993</v>
      </c>
    </row>
  </sheetData>
  <sortState xmlns:xlrd2="http://schemas.microsoft.com/office/spreadsheetml/2017/richdata2" ref="A3:E27">
    <sortCondition descending="1" ref="E3:E27"/>
  </sortState>
  <mergeCells count="1">
    <mergeCell ref="A1:E1"/>
  </mergeCells>
  <conditionalFormatting sqref="A4:A18">
    <cfRule type="cellIs" dxfId="19" priority="1" operator="equal">
      <formula>"Swift"</formula>
    </cfRule>
  </conditionalFormatting>
  <conditionalFormatting sqref="A4:A18">
    <cfRule type="containsText" dxfId="18" priority="2" operator="containsText" text="Invoice">
      <formula>NOT(ISERROR(SEARCH(("Invoice"),(A4))))</formula>
    </cfRule>
  </conditionalFormatting>
  <conditionalFormatting sqref="A4:A18">
    <cfRule type="containsText" dxfId="17" priority="3" operator="containsText" text="Outros (especificar)">
      <formula>NOT(ISERROR(SEARCH(("Outros (especificar)"),(A4))))</formula>
    </cfRule>
  </conditionalFormatting>
  <conditionalFormatting sqref="A4:A18">
    <cfRule type="containsText" dxfId="16" priority="4" operator="containsText" text="Contrato Câmbio / Swift">
      <formula>NOT(ISERROR(SEARCH(("Contrato Câmbio / Swift"),(A4))))</formula>
    </cfRule>
  </conditionalFormatting>
  <conditionalFormatting sqref="A4:A18">
    <cfRule type="containsText" dxfId="15" priority="5" operator="containsText" text="Recibo original">
      <formula>NOT(ISERROR(SEARCH(("Recibo original"),(A4))))</formula>
    </cfRule>
  </conditionalFormatting>
  <conditionalFormatting sqref="A22:A23">
    <cfRule type="cellIs" dxfId="14" priority="6" operator="equal">
      <formula>"Swift"</formula>
    </cfRule>
  </conditionalFormatting>
  <conditionalFormatting sqref="A22:A23">
    <cfRule type="containsText" dxfId="13" priority="7" operator="containsText" text="Invoice">
      <formula>NOT(ISERROR(SEARCH(("Invoice"),(A22))))</formula>
    </cfRule>
  </conditionalFormatting>
  <conditionalFormatting sqref="A22:A23">
    <cfRule type="containsText" dxfId="12" priority="8" operator="containsText" text="Outros (especificar)">
      <formula>NOT(ISERROR(SEARCH(("Outros (especificar)"),(A22))))</formula>
    </cfRule>
  </conditionalFormatting>
  <conditionalFormatting sqref="A22:A23">
    <cfRule type="containsText" dxfId="11" priority="9" operator="containsText" text="Contrato Câmbio / Swift">
      <formula>NOT(ISERROR(SEARCH(("Contrato Câmbio / Swift"),(A22))))</formula>
    </cfRule>
  </conditionalFormatting>
  <conditionalFormatting sqref="A22:A23">
    <cfRule type="containsText" dxfId="10" priority="10" operator="containsText" text="Recibo original">
      <formula>NOT(ISERROR(SEARCH(("Recibo original"),(A22))))</formula>
    </cfRule>
  </conditionalFormatting>
  <conditionalFormatting sqref="A19:A21">
    <cfRule type="cellIs" dxfId="9" priority="11" operator="equal">
      <formula>"Swift"</formula>
    </cfRule>
  </conditionalFormatting>
  <conditionalFormatting sqref="A19:A21">
    <cfRule type="containsText" dxfId="8" priority="12" operator="containsText" text="Invoice">
      <formula>NOT(ISERROR(SEARCH(("Invoice"),(A19))))</formula>
    </cfRule>
  </conditionalFormatting>
  <conditionalFormatting sqref="A19:A21">
    <cfRule type="containsText" dxfId="7" priority="13" operator="containsText" text="Outros (especificar)">
      <formula>NOT(ISERROR(SEARCH(("Outros (especificar)"),(A19))))</formula>
    </cfRule>
  </conditionalFormatting>
  <conditionalFormatting sqref="A19:A21">
    <cfRule type="containsText" dxfId="6" priority="14" operator="containsText" text="Contrato Câmbio / Swift">
      <formula>NOT(ISERROR(SEARCH(("Contrato Câmbio / Swift"),(A19))))</formula>
    </cfRule>
  </conditionalFormatting>
  <conditionalFormatting sqref="A19:A21">
    <cfRule type="containsText" dxfId="5" priority="15" operator="containsText" text="Recibo original">
      <formula>NOT(ISERROR(SEARCH(("Recibo original"),(A19))))</formula>
    </cfRule>
  </conditionalFormatting>
  <conditionalFormatting sqref="A24">
    <cfRule type="cellIs" dxfId="4" priority="16" operator="equal">
      <formula>"Swift"</formula>
    </cfRule>
  </conditionalFormatting>
  <conditionalFormatting sqref="A24">
    <cfRule type="containsText" dxfId="3" priority="17" operator="containsText" text="Invoice">
      <formula>NOT(ISERROR(SEARCH(("Invoice"),(A24))))</formula>
    </cfRule>
  </conditionalFormatting>
  <conditionalFormatting sqref="A24">
    <cfRule type="containsText" dxfId="2" priority="18" operator="containsText" text="Outros (especificar)">
      <formula>NOT(ISERROR(SEARCH(("Outros (especificar)"),(A24))))</formula>
    </cfRule>
  </conditionalFormatting>
  <conditionalFormatting sqref="A24">
    <cfRule type="containsText" dxfId="1" priority="19" operator="containsText" text="Contrato Câmbio / Swift">
      <formula>NOT(ISERROR(SEARCH(("Contrato Câmbio / Swift"),(A24))))</formula>
    </cfRule>
  </conditionalFormatting>
  <conditionalFormatting sqref="A24">
    <cfRule type="containsText" dxfId="0" priority="20" operator="containsText" text="Recibo original">
      <formula>NOT(ISERROR(SEARCH(("Recibo original"),(A24))))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FORNECEDORES EM GERAL</vt:lpstr>
      <vt:lpstr>ATLETAS</vt:lpstr>
      <vt:lpstr>RECURSOS HUMANOS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2023-07-24T15:50:40Z</dcterms:created>
  <dcterms:modified xsi:type="dcterms:W3CDTF">2023-07-24T16:26:48Z</dcterms:modified>
</cp:coreProperties>
</file>